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Anca\AppData\Local\Microsoft\Windows\INetCache\Content.Outlook\UTPELGZA\"/>
    </mc:Choice>
  </mc:AlternateContent>
  <xr:revisionPtr revIDLastSave="0" documentId="13_ncr:1_{13D0C41D-A67F-4770-908F-D431822696D8}" xr6:coauthVersionLast="36" xr6:coauthVersionMax="47" xr10:uidLastSave="{00000000-0000-0000-0000-000000000000}"/>
  <bookViews>
    <workbookView xWindow="-120" yWindow="-120" windowWidth="28920" windowHeight="12495" tabRatio="914" activeTab="2" xr2:uid="{57DDC26A-0058-42D3-AF50-F9A5729AB588}"/>
  </bookViews>
  <sheets>
    <sheet name="2022 IR Data Book" sheetId="5" r:id="rId1"/>
    <sheet name="Contents" sheetId="20" r:id="rId2"/>
    <sheet name="Group Profit &amp; Loss Stm" sheetId="11" r:id="rId3"/>
    <sheet name="Group Balance Sheet" sheetId="10" r:id="rId4"/>
    <sheet name="Group CF and CAPEX" sheetId="12" r:id="rId5"/>
    <sheet name="Key figures and ratios" sheetId="22" r:id="rId6"/>
    <sheet name="Aramex Courier" sheetId="13" r:id="rId7"/>
    <sheet name="Aramex Express+SNS" sheetId="24" r:id="rId8"/>
    <sheet name="Aramex Domestic" sheetId="25" r:id="rId9"/>
    <sheet name="Aramex Freight" sheetId="14" r:id="rId10"/>
    <sheet name="Aramex Logistics" sheetId="15" r:id="rId11"/>
    <sheet name="Regional Breakdown" sheetId="9" r:id="rId12"/>
    <sheet name="GP Recflassification" sheetId="8" r:id="rId13"/>
    <sheet name="Historic_Product_Breakdown" sheetId="7" r:id="rId14"/>
    <sheet name="Historic Express Rev_Vol_ Data" sheetId="6" r:id="rId15"/>
  </sheets>
  <externalReferences>
    <externalReference r:id="rId16"/>
    <externalReference r:id="rId17"/>
    <externalReference r:id="rId18"/>
    <externalReference r:id="rId19"/>
    <externalReference r:id="rId20"/>
  </externalReferences>
  <definedNames>
    <definedName name="bd" localSheetId="8">'[1]SCHEDULE 3'!#REF!</definedName>
    <definedName name="bd" localSheetId="7">'[1]SCHEDULE 3'!#REF!</definedName>
    <definedName name="bd">'[1]SCHEDULE 3'!#REF!</definedName>
    <definedName name="code">[2]Index!$C$30</definedName>
    <definedName name="Currency" localSheetId="8">'[3]Act''21 vs Act''20-Month'!#REF!</definedName>
    <definedName name="Currency" localSheetId="7">'[3]Act''21 vs Act''20-Month'!#REF!</definedName>
    <definedName name="Currency" localSheetId="14">'[3]Act''21 vs Act''20-Month'!#REF!</definedName>
    <definedName name="Currency" localSheetId="5">'[3]Act''21 vs Act''20-Month'!#REF!</definedName>
    <definedName name="Currency">'[3]Act''21 vs Act''20-Month'!#REF!</definedName>
    <definedName name="entity">[2]Index!$B$33</definedName>
    <definedName name="index">[2]Index!$B$36</definedName>
    <definedName name="MM">[4]XRates!$B$2</definedName>
    <definedName name="USD">[5]XRates!$B$1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 i="10" l="1"/>
  <c r="I59" i="10"/>
  <c r="U13" i="13" l="1"/>
  <c r="V13" i="13"/>
  <c r="W13" i="13"/>
  <c r="X13" i="13"/>
  <c r="U15" i="13"/>
  <c r="V15" i="13"/>
  <c r="W15" i="13"/>
  <c r="X15" i="13"/>
  <c r="U10" i="13" l="1"/>
  <c r="V10" i="13"/>
  <c r="W10" i="13"/>
  <c r="X10" i="13"/>
  <c r="P168" i="9" l="1"/>
  <c r="P147" i="9"/>
  <c r="P126" i="9"/>
  <c r="P105" i="9"/>
  <c r="G168" i="9"/>
  <c r="C246" i="9" s="1"/>
  <c r="D246" i="9" s="1"/>
  <c r="G147" i="9"/>
  <c r="C245" i="9" s="1"/>
  <c r="D245" i="9" s="1"/>
  <c r="G21" i="9"/>
  <c r="C239" i="9" s="1"/>
  <c r="D239" i="9" s="1"/>
  <c r="G105" i="9"/>
  <c r="C243" i="9" s="1"/>
  <c r="D243" i="9" s="1"/>
  <c r="G126" i="9"/>
  <c r="C244" i="9" s="1"/>
  <c r="D244" i="9" s="1"/>
  <c r="I15" i="25" l="1"/>
  <c r="H15" i="25"/>
  <c r="F15" i="25"/>
  <c r="E15" i="25"/>
  <c r="D15" i="25"/>
  <c r="C15" i="25"/>
  <c r="G15" i="25"/>
  <c r="I15" i="24" l="1"/>
  <c r="H15" i="24"/>
  <c r="F15" i="24"/>
  <c r="E15" i="24"/>
  <c r="D15" i="24"/>
  <c r="C15" i="24"/>
  <c r="G15" i="24" l="1"/>
  <c r="G14" i="22" l="1"/>
  <c r="G13" i="22"/>
  <c r="G12" i="22"/>
  <c r="F12" i="22"/>
  <c r="F13" i="22"/>
  <c r="F14" i="22"/>
  <c r="J5" i="15" l="1"/>
  <c r="J5" i="14"/>
  <c r="L5" i="15" l="1"/>
  <c r="L5" i="14"/>
  <c r="I20" i="13" l="1"/>
  <c r="N193" i="9" l="1"/>
  <c r="L193" i="9"/>
  <c r="N175" i="9"/>
  <c r="L175" i="9"/>
  <c r="N166" i="9"/>
  <c r="L166" i="9"/>
  <c r="N154" i="9"/>
  <c r="L154" i="9"/>
  <c r="N145" i="9"/>
  <c r="L145" i="9"/>
  <c r="N133" i="9"/>
  <c r="L133" i="9"/>
  <c r="N124" i="9"/>
  <c r="L124" i="9"/>
  <c r="N112" i="9"/>
  <c r="L112" i="9"/>
  <c r="N103" i="9"/>
  <c r="L103" i="9"/>
  <c r="N91" i="9"/>
  <c r="L91" i="9"/>
  <c r="N82" i="9"/>
  <c r="L82" i="9"/>
  <c r="N70" i="9"/>
  <c r="L70" i="9"/>
  <c r="N61" i="9"/>
  <c r="L61" i="9"/>
  <c r="N49" i="9"/>
  <c r="L49" i="9"/>
  <c r="N40" i="9"/>
  <c r="L40" i="9"/>
  <c r="N28" i="9"/>
  <c r="L28" i="9"/>
  <c r="N19" i="9"/>
  <c r="L19" i="9"/>
  <c r="A5" i="5" l="1"/>
  <c r="A4" i="5"/>
  <c r="A2" i="5"/>
  <c r="E27" i="6" l="1"/>
  <c r="N181" i="9"/>
  <c r="L178" i="9"/>
  <c r="N156" i="9"/>
  <c r="N139" i="9"/>
  <c r="L136" i="9"/>
  <c r="N114" i="9"/>
  <c r="N97" i="9"/>
  <c r="L94" i="9"/>
  <c r="N72" i="9"/>
  <c r="N55" i="9"/>
  <c r="L52" i="9"/>
  <c r="N30" i="9"/>
  <c r="N12" i="9"/>
  <c r="L9" i="9"/>
  <c r="E177" i="9"/>
  <c r="E160" i="9"/>
  <c r="C157" i="9"/>
  <c r="E135" i="9"/>
  <c r="E118" i="9"/>
  <c r="C116" i="9"/>
  <c r="E94" i="9"/>
  <c r="C80" i="9"/>
  <c r="C74" i="9"/>
  <c r="E52" i="9"/>
  <c r="C38" i="9"/>
  <c r="C32" i="9"/>
  <c r="E9" i="9"/>
  <c r="E11" i="14"/>
  <c r="E66" i="12"/>
  <c r="N34" i="9"/>
  <c r="C136" i="9"/>
  <c r="C59" i="9"/>
  <c r="E164" i="9"/>
  <c r="C76" i="9"/>
  <c r="L143" i="9"/>
  <c r="L53" i="9"/>
  <c r="C158" i="9"/>
  <c r="E53" i="9"/>
  <c r="E26" i="6"/>
  <c r="N180" i="9"/>
  <c r="L177" i="9"/>
  <c r="L160" i="9"/>
  <c r="N138" i="9"/>
  <c r="L135" i="9"/>
  <c r="L118" i="9"/>
  <c r="N96" i="9"/>
  <c r="L93" i="9"/>
  <c r="L76" i="9"/>
  <c r="N54" i="9"/>
  <c r="L51" i="9"/>
  <c r="L34" i="9"/>
  <c r="N11" i="9"/>
  <c r="L8" i="9"/>
  <c r="C181" i="9"/>
  <c r="E159" i="9"/>
  <c r="C156" i="9"/>
  <c r="C139" i="9"/>
  <c r="E117" i="9"/>
  <c r="C115" i="9"/>
  <c r="E93" i="9"/>
  <c r="E76" i="9"/>
  <c r="C73" i="9"/>
  <c r="E51" i="9"/>
  <c r="E34" i="9"/>
  <c r="C31" i="9"/>
  <c r="E8" i="9"/>
  <c r="E57" i="12"/>
  <c r="N177" i="9"/>
  <c r="N118" i="9"/>
  <c r="N76" i="9"/>
  <c r="L31" i="9"/>
  <c r="E181" i="9"/>
  <c r="E156" i="9"/>
  <c r="E114" i="9"/>
  <c r="E73" i="9"/>
  <c r="C16" i="9"/>
  <c r="E13" i="12"/>
  <c r="E137" i="9"/>
  <c r="E11" i="9"/>
  <c r="N157" i="9"/>
  <c r="L16" i="9"/>
  <c r="E136" i="9"/>
  <c r="C75" i="9"/>
  <c r="H84" i="7"/>
  <c r="N179" i="9"/>
  <c r="N164" i="9"/>
  <c r="L159" i="9"/>
  <c r="N137" i="9"/>
  <c r="N122" i="9"/>
  <c r="L117" i="9"/>
  <c r="N95" i="9"/>
  <c r="N80" i="9"/>
  <c r="L75" i="9"/>
  <c r="N53" i="9"/>
  <c r="N38" i="9"/>
  <c r="L33" i="9"/>
  <c r="N10" i="9"/>
  <c r="E185" i="9"/>
  <c r="C180" i="9"/>
  <c r="E158" i="9"/>
  <c r="E143" i="9"/>
  <c r="C138" i="9"/>
  <c r="E116" i="9"/>
  <c r="C114" i="9"/>
  <c r="C97" i="9"/>
  <c r="E75" i="9"/>
  <c r="C72" i="9"/>
  <c r="C55" i="9"/>
  <c r="E33" i="9"/>
  <c r="C30" i="9"/>
  <c r="C12" i="9"/>
  <c r="E47" i="12"/>
  <c r="H80" i="7"/>
  <c r="L157" i="9"/>
  <c r="L115" i="9"/>
  <c r="L73" i="9"/>
  <c r="N8" i="9"/>
  <c r="E139" i="9"/>
  <c r="C95" i="9"/>
  <c r="C53" i="9"/>
  <c r="C10" i="9"/>
  <c r="N16" i="9"/>
  <c r="E122" i="9"/>
  <c r="C93" i="9"/>
  <c r="C34" i="9"/>
  <c r="L101" i="9"/>
  <c r="L59" i="9"/>
  <c r="E178" i="9"/>
  <c r="C117" i="9"/>
  <c r="E80" i="9"/>
  <c r="E10" i="9"/>
  <c r="H82" i="7"/>
  <c r="N178" i="9"/>
  <c r="L164" i="9"/>
  <c r="L158" i="9"/>
  <c r="N136" i="9"/>
  <c r="L122" i="9"/>
  <c r="L116" i="9"/>
  <c r="N94" i="9"/>
  <c r="L80" i="9"/>
  <c r="L74" i="9"/>
  <c r="N52" i="9"/>
  <c r="L38" i="9"/>
  <c r="L32" i="9"/>
  <c r="N9" i="9"/>
  <c r="C185" i="9"/>
  <c r="C179" i="9"/>
  <c r="E157" i="9"/>
  <c r="C143" i="9"/>
  <c r="C137" i="9"/>
  <c r="E115" i="9"/>
  <c r="E101" i="9"/>
  <c r="C96" i="9"/>
  <c r="E74" i="9"/>
  <c r="E59" i="9"/>
  <c r="C54" i="9"/>
  <c r="E32" i="9"/>
  <c r="E16" i="9"/>
  <c r="C11" i="9"/>
  <c r="E20" i="12"/>
  <c r="N160" i="9"/>
  <c r="N135" i="9"/>
  <c r="N93" i="9"/>
  <c r="N51" i="9"/>
  <c r="C178" i="9"/>
  <c r="C101" i="9"/>
  <c r="E31" i="9"/>
  <c r="L11" i="9"/>
  <c r="C118" i="9"/>
  <c r="C51" i="9"/>
  <c r="L179" i="9"/>
  <c r="N31" i="9"/>
  <c r="C122" i="9"/>
  <c r="C33" i="9"/>
  <c r="H79" i="7"/>
  <c r="L181" i="9"/>
  <c r="N159" i="9"/>
  <c r="L156" i="9"/>
  <c r="L139" i="9"/>
  <c r="N117" i="9"/>
  <c r="L114" i="9"/>
  <c r="L97" i="9"/>
  <c r="N75" i="9"/>
  <c r="L72" i="9"/>
  <c r="L55" i="9"/>
  <c r="N33" i="9"/>
  <c r="L30" i="9"/>
  <c r="L12" i="9"/>
  <c r="E180" i="9"/>
  <c r="C177" i="9"/>
  <c r="C160" i="9"/>
  <c r="E138" i="9"/>
  <c r="C135" i="9"/>
  <c r="C119" i="9"/>
  <c r="E97" i="9"/>
  <c r="C94" i="9"/>
  <c r="E72" i="9"/>
  <c r="E55" i="9"/>
  <c r="C52" i="9"/>
  <c r="E30" i="9"/>
  <c r="E12" i="9"/>
  <c r="C9" i="9"/>
  <c r="N185" i="9"/>
  <c r="L180" i="9"/>
  <c r="N158" i="9"/>
  <c r="N143" i="9"/>
  <c r="L138" i="9"/>
  <c r="N116" i="9"/>
  <c r="N101" i="9"/>
  <c r="L96" i="9"/>
  <c r="N74" i="9"/>
  <c r="N59" i="9"/>
  <c r="L54" i="9"/>
  <c r="N32" i="9"/>
  <c r="E179" i="9"/>
  <c r="C159" i="9"/>
  <c r="E96" i="9"/>
  <c r="E54" i="9"/>
  <c r="C8" i="9"/>
  <c r="L185" i="9"/>
  <c r="L137" i="9"/>
  <c r="N115" i="9"/>
  <c r="L95" i="9"/>
  <c r="N73" i="9"/>
  <c r="L10" i="9"/>
  <c r="C164" i="9"/>
  <c r="E95" i="9"/>
  <c r="E38" i="9"/>
  <c r="C3" i="9"/>
  <c r="I46" i="12"/>
  <c r="E12" i="15"/>
  <c r="R12" i="15" s="1"/>
  <c r="E12" i="14"/>
  <c r="H8" i="25"/>
  <c r="D8" i="25"/>
  <c r="F8" i="25"/>
  <c r="I7" i="14"/>
  <c r="E8" i="25"/>
  <c r="E7" i="25"/>
  <c r="E9" i="25" s="1"/>
  <c r="I45" i="12"/>
  <c r="E14" i="15"/>
  <c r="R14" i="15" s="1"/>
  <c r="I14" i="14"/>
  <c r="H7" i="25"/>
  <c r="D7" i="25"/>
  <c r="D9" i="25" s="1"/>
  <c r="I42" i="12"/>
  <c r="I7" i="15"/>
  <c r="S7" i="15" s="1"/>
  <c r="I7" i="25"/>
  <c r="I44" i="12"/>
  <c r="I14" i="15"/>
  <c r="S14" i="15" s="1"/>
  <c r="I12" i="14"/>
  <c r="G8" i="25"/>
  <c r="C8" i="25"/>
  <c r="I8" i="14"/>
  <c r="F7" i="25"/>
  <c r="F9" i="25" s="1"/>
  <c r="E11" i="15"/>
  <c r="I43" i="12"/>
  <c r="I12" i="15"/>
  <c r="S12" i="15" s="1"/>
  <c r="I11" i="14"/>
  <c r="G7" i="25"/>
  <c r="G9" i="25" s="1"/>
  <c r="C7" i="25"/>
  <c r="C9" i="25" s="1"/>
  <c r="I11" i="15"/>
  <c r="I40" i="12"/>
  <c r="I41" i="12"/>
  <c r="I8" i="15"/>
  <c r="S8" i="15" s="1"/>
  <c r="I8" i="25"/>
  <c r="I19" i="25" s="1"/>
  <c r="E14" i="14"/>
  <c r="I8" i="24"/>
  <c r="E8" i="24"/>
  <c r="I11" i="13"/>
  <c r="I66" i="12"/>
  <c r="I54" i="12"/>
  <c r="I32" i="12"/>
  <c r="I18" i="12"/>
  <c r="I10" i="12"/>
  <c r="I48" i="10"/>
  <c r="I34" i="10"/>
  <c r="I20" i="10"/>
  <c r="I10" i="10"/>
  <c r="J26" i="11"/>
  <c r="J11" i="11"/>
  <c r="E14" i="13"/>
  <c r="P14" i="13" s="1"/>
  <c r="I26" i="12"/>
  <c r="I3" i="12"/>
  <c r="I17" i="10"/>
  <c r="J19" i="11"/>
  <c r="C8" i="24"/>
  <c r="I25" i="12"/>
  <c r="I28" i="10"/>
  <c r="I7" i="24"/>
  <c r="E7" i="24"/>
  <c r="I8" i="13"/>
  <c r="I65" i="12"/>
  <c r="I49" i="12"/>
  <c r="I28" i="12"/>
  <c r="I17" i="12"/>
  <c r="I9" i="12"/>
  <c r="I47" i="10"/>
  <c r="I31" i="10"/>
  <c r="I19" i="10"/>
  <c r="I9" i="10"/>
  <c r="J22" i="11"/>
  <c r="J9" i="11"/>
  <c r="H7" i="24"/>
  <c r="I47" i="12"/>
  <c r="I43" i="10"/>
  <c r="I7" i="10"/>
  <c r="G8" i="24"/>
  <c r="E12" i="13"/>
  <c r="I14" i="12"/>
  <c r="I14" i="10"/>
  <c r="H8" i="24"/>
  <c r="D8" i="24"/>
  <c r="I7" i="13"/>
  <c r="I60" i="12"/>
  <c r="I48" i="12"/>
  <c r="I27" i="12"/>
  <c r="I16" i="12"/>
  <c r="I4" i="12"/>
  <c r="I46" i="10"/>
  <c r="I30" i="10"/>
  <c r="I18" i="10"/>
  <c r="I8" i="10"/>
  <c r="J20" i="11"/>
  <c r="J8" i="11"/>
  <c r="D7" i="24"/>
  <c r="I59" i="12"/>
  <c r="I15" i="12"/>
  <c r="I29" i="10"/>
  <c r="G7" i="24"/>
  <c r="C7" i="24"/>
  <c r="E11" i="13"/>
  <c r="I57" i="12"/>
  <c r="I38" i="12"/>
  <c r="I24" i="12"/>
  <c r="I13" i="12"/>
  <c r="I51" i="10"/>
  <c r="I41" i="10"/>
  <c r="I27" i="10"/>
  <c r="I13" i="10"/>
  <c r="J33" i="11"/>
  <c r="J15" i="11"/>
  <c r="F7" i="24"/>
  <c r="I33" i="12"/>
  <c r="I11" i="12"/>
  <c r="I39" i="10"/>
  <c r="I11" i="10"/>
  <c r="J27" i="11"/>
  <c r="I58" i="12"/>
  <c r="I53" i="10"/>
  <c r="J36" i="11"/>
  <c r="F8" i="24"/>
  <c r="I14" i="13"/>
  <c r="E8" i="13"/>
  <c r="I56" i="12"/>
  <c r="I37" i="12"/>
  <c r="I20" i="12"/>
  <c r="I12" i="12"/>
  <c r="I50" i="10"/>
  <c r="I40" i="10"/>
  <c r="I26" i="10"/>
  <c r="I12" i="10"/>
  <c r="J32" i="11"/>
  <c r="J13" i="11"/>
  <c r="I12" i="13"/>
  <c r="E7" i="13"/>
  <c r="I55" i="12"/>
  <c r="I19" i="12"/>
  <c r="I49" i="10"/>
  <c r="I22" i="10"/>
  <c r="J12" i="11"/>
  <c r="I39" i="12"/>
  <c r="I42" i="10"/>
  <c r="J18" i="11"/>
  <c r="D7" i="10"/>
  <c r="E8" i="10"/>
  <c r="F9" i="10"/>
  <c r="G10" i="10"/>
  <c r="H11" i="10"/>
  <c r="C14" i="10"/>
  <c r="C17" i="10"/>
  <c r="D18" i="10"/>
  <c r="E19" i="10"/>
  <c r="F20" i="10"/>
  <c r="D22" i="10"/>
  <c r="E26" i="10"/>
  <c r="F27" i="10"/>
  <c r="G28" i="10"/>
  <c r="H29" i="10"/>
  <c r="C39" i="10"/>
  <c r="D40" i="10"/>
  <c r="E41" i="10"/>
  <c r="F42" i="10"/>
  <c r="G43" i="10"/>
  <c r="E46" i="10"/>
  <c r="F47" i="10"/>
  <c r="G48" i="10"/>
  <c r="H49" i="10"/>
  <c r="G12" i="10"/>
  <c r="C41" i="10"/>
  <c r="H51" i="10"/>
  <c r="G11" i="10"/>
  <c r="E27" i="10"/>
  <c r="E7" i="10"/>
  <c r="F8" i="10"/>
  <c r="G9" i="10"/>
  <c r="H10" i="10"/>
  <c r="C13" i="10"/>
  <c r="D14" i="10"/>
  <c r="D17" i="10"/>
  <c r="E18" i="10"/>
  <c r="F19" i="10"/>
  <c r="G20" i="10"/>
  <c r="E22" i="10"/>
  <c r="F26" i="10"/>
  <c r="G27" i="10"/>
  <c r="H28" i="10"/>
  <c r="C31" i="10"/>
  <c r="C34" i="10"/>
  <c r="D39" i="10"/>
  <c r="E40" i="10"/>
  <c r="F41" i="10"/>
  <c r="G42" i="10"/>
  <c r="H43" i="10"/>
  <c r="F46" i="10"/>
  <c r="G47" i="10"/>
  <c r="H48" i="10"/>
  <c r="C51" i="10"/>
  <c r="C47" i="10"/>
  <c r="F11" i="10"/>
  <c r="D20" i="10"/>
  <c r="F29" i="10"/>
  <c r="E43" i="10"/>
  <c r="F10" i="10"/>
  <c r="C18" i="10"/>
  <c r="D26" i="10"/>
  <c r="F43" i="10"/>
  <c r="F7" i="10"/>
  <c r="G8" i="10"/>
  <c r="H9" i="10"/>
  <c r="C12" i="10"/>
  <c r="D13" i="10"/>
  <c r="E14" i="10"/>
  <c r="E17" i="10"/>
  <c r="F18" i="10"/>
  <c r="G19" i="10"/>
  <c r="H20" i="10"/>
  <c r="F22" i="10"/>
  <c r="G26" i="10"/>
  <c r="H27" i="10"/>
  <c r="C30" i="10"/>
  <c r="D31" i="10"/>
  <c r="D34" i="10"/>
  <c r="E39" i="10"/>
  <c r="F40" i="10"/>
  <c r="G41" i="10"/>
  <c r="H42" i="10"/>
  <c r="G46" i="10"/>
  <c r="H47" i="10"/>
  <c r="C50" i="10"/>
  <c r="D51" i="10"/>
  <c r="C53" i="10"/>
  <c r="H46" i="10"/>
  <c r="C49" i="10"/>
  <c r="D50" i="10"/>
  <c r="E51" i="10"/>
  <c r="D53" i="10"/>
  <c r="H22" i="10"/>
  <c r="C28" i="10"/>
  <c r="D29" i="10"/>
  <c r="E30" i="10"/>
  <c r="F31" i="10"/>
  <c r="F34" i="10"/>
  <c r="G39" i="10"/>
  <c r="H40" i="10"/>
  <c r="C43" i="10"/>
  <c r="C48" i="10"/>
  <c r="D49" i="10"/>
  <c r="F51" i="10"/>
  <c r="D28" i="10"/>
  <c r="G34" i="10"/>
  <c r="C42" i="10"/>
  <c r="D48" i="10"/>
  <c r="F50" i="10"/>
  <c r="A1" i="10"/>
  <c r="H13" i="10"/>
  <c r="H31" i="10"/>
  <c r="C46" i="10"/>
  <c r="G50" i="10"/>
  <c r="C7" i="10"/>
  <c r="F28" i="10"/>
  <c r="D41" i="10"/>
  <c r="H50" i="10"/>
  <c r="G7" i="10"/>
  <c r="H8" i="10"/>
  <c r="C11" i="10"/>
  <c r="D12" i="10"/>
  <c r="E13" i="10"/>
  <c r="F14" i="10"/>
  <c r="F17" i="10"/>
  <c r="G18" i="10"/>
  <c r="H19" i="10"/>
  <c r="G22" i="10"/>
  <c r="H26" i="10"/>
  <c r="C29" i="10"/>
  <c r="D30" i="10"/>
  <c r="E31" i="10"/>
  <c r="E34" i="10"/>
  <c r="F39" i="10"/>
  <c r="G40" i="10"/>
  <c r="H41" i="10"/>
  <c r="E50" i="10"/>
  <c r="F30" i="10"/>
  <c r="D9" i="10"/>
  <c r="C19" i="10"/>
  <c r="E28" i="10"/>
  <c r="H34" i="10"/>
  <c r="D47" i="10"/>
  <c r="G53" i="10"/>
  <c r="H12" i="10"/>
  <c r="D19" i="10"/>
  <c r="G29" i="10"/>
  <c r="C40" i="10"/>
  <c r="E42" i="10"/>
  <c r="E47" i="10"/>
  <c r="G49" i="10"/>
  <c r="H7" i="10"/>
  <c r="C10" i="10"/>
  <c r="D11" i="10"/>
  <c r="E12" i="10"/>
  <c r="F13" i="10"/>
  <c r="G14" i="10"/>
  <c r="G17" i="10"/>
  <c r="G21" i="10" s="1"/>
  <c r="H18" i="10"/>
  <c r="E53" i="10"/>
  <c r="F53" i="10"/>
  <c r="E10" i="10"/>
  <c r="D27" i="10"/>
  <c r="E48" i="10"/>
  <c r="E9" i="10"/>
  <c r="C22" i="10"/>
  <c r="F48" i="10"/>
  <c r="H53" i="10"/>
  <c r="C9" i="10"/>
  <c r="D10" i="10"/>
  <c r="E11" i="10"/>
  <c r="F12" i="10"/>
  <c r="G13" i="10"/>
  <c r="H14" i="10"/>
  <c r="H17" i="10"/>
  <c r="C20" i="10"/>
  <c r="C27" i="10"/>
  <c r="E29" i="10"/>
  <c r="G31" i="10"/>
  <c r="H39" i="10"/>
  <c r="D43" i="10"/>
  <c r="E49" i="10"/>
  <c r="G51" i="10"/>
  <c r="C8" i="10"/>
  <c r="C26" i="10"/>
  <c r="G30" i="10"/>
  <c r="D42" i="10"/>
  <c r="F49" i="10"/>
  <c r="D8" i="10"/>
  <c r="E20" i="10"/>
  <c r="E21" i="10" s="1"/>
  <c r="H30" i="10"/>
  <c r="D46" i="10"/>
  <c r="C11" i="13"/>
  <c r="N11" i="13" s="1"/>
  <c r="F14" i="13"/>
  <c r="Q14" i="13" s="1"/>
  <c r="D11" i="13"/>
  <c r="O11" i="13" s="1"/>
  <c r="G14" i="13"/>
  <c r="R14" i="13" s="1"/>
  <c r="H12" i="13"/>
  <c r="P11" i="13"/>
  <c r="C12" i="13"/>
  <c r="N12" i="13" s="1"/>
  <c r="H14" i="13"/>
  <c r="F11" i="13"/>
  <c r="Q11" i="13" s="1"/>
  <c r="D12" i="13"/>
  <c r="O12" i="13" s="1"/>
  <c r="D14" i="13"/>
  <c r="O14" i="13" s="1"/>
  <c r="G11" i="13"/>
  <c r="R11" i="13" s="1"/>
  <c r="P12" i="13"/>
  <c r="H11" i="13"/>
  <c r="F12" i="13"/>
  <c r="Q12" i="13" s="1"/>
  <c r="C14" i="13"/>
  <c r="N14" i="13" s="1"/>
  <c r="G12" i="13"/>
  <c r="R12" i="13" s="1"/>
  <c r="E19" i="25"/>
  <c r="F19" i="24"/>
  <c r="C19" i="25"/>
  <c r="F19" i="25"/>
  <c r="F7" i="13"/>
  <c r="F8" i="13"/>
  <c r="A1" i="25"/>
  <c r="D19" i="25"/>
  <c r="G19" i="25"/>
  <c r="H19" i="25"/>
  <c r="G19" i="24"/>
  <c r="A1" i="24"/>
  <c r="H34" i="7"/>
  <c r="H38" i="7"/>
  <c r="H36" i="7"/>
  <c r="H33" i="7"/>
  <c r="E22" i="6"/>
  <c r="E21" i="6"/>
  <c r="I72" i="12"/>
  <c r="H58" i="12"/>
  <c r="H54" i="12"/>
  <c r="H44" i="12"/>
  <c r="H38" i="12"/>
  <c r="H27" i="12"/>
  <c r="H19" i="12"/>
  <c r="H14" i="12"/>
  <c r="H10" i="12"/>
  <c r="G66" i="12"/>
  <c r="G56" i="12"/>
  <c r="G46" i="12"/>
  <c r="G40" i="12"/>
  <c r="G33" i="12"/>
  <c r="G19" i="12"/>
  <c r="G13" i="12"/>
  <c r="I36" i="11"/>
  <c r="H65" i="12"/>
  <c r="H40" i="12"/>
  <c r="H15" i="12"/>
  <c r="G32" i="12"/>
  <c r="G4" i="12"/>
  <c r="H57" i="12"/>
  <c r="H48" i="12"/>
  <c r="H42" i="12"/>
  <c r="H37" i="12"/>
  <c r="H26" i="12"/>
  <c r="H18" i="12"/>
  <c r="H13" i="12"/>
  <c r="H9" i="12"/>
  <c r="G65" i="12"/>
  <c r="G55" i="12"/>
  <c r="G48" i="12"/>
  <c r="G38" i="12"/>
  <c r="G27" i="12"/>
  <c r="G16" i="12"/>
  <c r="G12" i="12"/>
  <c r="G10" i="12"/>
  <c r="G15" i="12"/>
  <c r="H55" i="12"/>
  <c r="H46" i="12"/>
  <c r="H24" i="12"/>
  <c r="H11" i="12"/>
  <c r="G57" i="12"/>
  <c r="G47" i="12"/>
  <c r="G24" i="12"/>
  <c r="G11" i="12"/>
  <c r="H66" i="12"/>
  <c r="H56" i="12"/>
  <c r="H47" i="12"/>
  <c r="H41" i="12"/>
  <c r="H33" i="12"/>
  <c r="H25" i="12"/>
  <c r="H16" i="12"/>
  <c r="H12" i="12"/>
  <c r="H4" i="12"/>
  <c r="G58" i="12"/>
  <c r="G54" i="12"/>
  <c r="G42" i="12"/>
  <c r="G37" i="12"/>
  <c r="G26" i="12"/>
  <c r="G18" i="12"/>
  <c r="G9" i="12"/>
  <c r="H32" i="12"/>
  <c r="H3" i="12"/>
  <c r="G41" i="12"/>
  <c r="G14" i="12"/>
  <c r="D12" i="11"/>
  <c r="D13" i="11"/>
  <c r="C27" i="6"/>
  <c r="C22" i="6"/>
  <c r="C17" i="6"/>
  <c r="C12" i="6"/>
  <c r="C7" i="6"/>
  <c r="H68" i="7"/>
  <c r="H45" i="7"/>
  <c r="M49" i="7"/>
  <c r="M45" i="7"/>
  <c r="M38" i="7"/>
  <c r="M34" i="7"/>
  <c r="N25" i="7"/>
  <c r="N21" i="7"/>
  <c r="H23" i="7"/>
  <c r="M10" i="7"/>
  <c r="M7" i="7"/>
  <c r="G31" i="8"/>
  <c r="G11" i="8"/>
  <c r="F14" i="15"/>
  <c r="D12" i="15"/>
  <c r="H8" i="15"/>
  <c r="F7" i="15"/>
  <c r="F14" i="14"/>
  <c r="G12" i="14"/>
  <c r="H8" i="14"/>
  <c r="F7" i="14"/>
  <c r="G8" i="13"/>
  <c r="D66" i="12"/>
  <c r="H60" i="12"/>
  <c r="E59" i="12"/>
  <c r="C58" i="12"/>
  <c r="E55" i="12"/>
  <c r="C54" i="12"/>
  <c r="C46" i="12"/>
  <c r="G44" i="12"/>
  <c r="F26" i="6"/>
  <c r="F21" i="6"/>
  <c r="F16" i="6"/>
  <c r="F11" i="6"/>
  <c r="F6" i="6"/>
  <c r="H67" i="7"/>
  <c r="H44" i="7"/>
  <c r="L49" i="7"/>
  <c r="L45" i="7"/>
  <c r="L38" i="7"/>
  <c r="L34" i="7"/>
  <c r="O25" i="7"/>
  <c r="O21" i="7"/>
  <c r="H25" i="7"/>
  <c r="L10" i="7"/>
  <c r="L7" i="7"/>
  <c r="G30" i="8"/>
  <c r="G10" i="8"/>
  <c r="C12" i="15"/>
  <c r="G8" i="15"/>
  <c r="E7" i="15"/>
  <c r="R7" i="15" s="1"/>
  <c r="H12" i="14"/>
  <c r="G8" i="14"/>
  <c r="E7" i="14"/>
  <c r="D7" i="13"/>
  <c r="C66" i="12"/>
  <c r="G60" i="12"/>
  <c r="D59" i="12"/>
  <c r="F56" i="12"/>
  <c r="D55" i="12"/>
  <c r="H49" i="12"/>
  <c r="F48" i="12"/>
  <c r="D47" i="12"/>
  <c r="H45" i="12"/>
  <c r="F44" i="12"/>
  <c r="D43" i="12"/>
  <c r="F40" i="12"/>
  <c r="D39" i="12"/>
  <c r="E16" i="6"/>
  <c r="E11" i="6"/>
  <c r="E6" i="6"/>
  <c r="H60" i="7"/>
  <c r="O47" i="7"/>
  <c r="O44" i="7"/>
  <c r="O36" i="7"/>
  <c r="O33" i="7"/>
  <c r="O23" i="7"/>
  <c r="O20" i="7"/>
  <c r="L12" i="7"/>
  <c r="L8" i="7"/>
  <c r="H12" i="7"/>
  <c r="G29" i="8"/>
  <c r="G7" i="8"/>
  <c r="D14" i="15"/>
  <c r="H11" i="15"/>
  <c r="F8" i="15"/>
  <c r="D7" i="15"/>
  <c r="D14" i="14"/>
  <c r="H11" i="14"/>
  <c r="F8" i="14"/>
  <c r="D7" i="14"/>
  <c r="C7" i="13"/>
  <c r="E60" i="12"/>
  <c r="F60" i="12" s="1"/>
  <c r="C59" i="12"/>
  <c r="E56" i="12"/>
  <c r="C55" i="12"/>
  <c r="G49" i="12"/>
  <c r="E48" i="12"/>
  <c r="C47" i="12"/>
  <c r="G45" i="12"/>
  <c r="E44" i="12"/>
  <c r="C43" i="12"/>
  <c r="E40" i="12"/>
  <c r="C39" i="12"/>
  <c r="D26" i="6"/>
  <c r="D21" i="6"/>
  <c r="D16" i="6"/>
  <c r="D11" i="6"/>
  <c r="D6" i="6"/>
  <c r="H58" i="7"/>
  <c r="N47" i="7"/>
  <c r="N44" i="7"/>
  <c r="N36" i="7"/>
  <c r="N33" i="7"/>
  <c r="N23" i="7"/>
  <c r="N20" i="7"/>
  <c r="M12" i="7"/>
  <c r="M8" i="7"/>
  <c r="H10" i="7"/>
  <c r="G28" i="8"/>
  <c r="G6" i="8"/>
  <c r="C14" i="15"/>
  <c r="G11" i="15"/>
  <c r="E8" i="15"/>
  <c r="R8" i="15" s="1"/>
  <c r="C7" i="15"/>
  <c r="C14" i="14"/>
  <c r="G11" i="14"/>
  <c r="E8" i="14"/>
  <c r="C7" i="14"/>
  <c r="D8" i="13"/>
  <c r="A1" i="13"/>
  <c r="D60" i="12"/>
  <c r="F57" i="12"/>
  <c r="D56" i="12"/>
  <c r="F49" i="12"/>
  <c r="D48" i="12"/>
  <c r="F45" i="12"/>
  <c r="D44" i="12"/>
  <c r="F41" i="12"/>
  <c r="D40" i="12"/>
  <c r="F37" i="12"/>
  <c r="C26" i="6"/>
  <c r="C21" i="6"/>
  <c r="C16" i="6"/>
  <c r="C11" i="6"/>
  <c r="C6" i="6"/>
  <c r="H56" i="7"/>
  <c r="M47" i="7"/>
  <c r="M44" i="7"/>
  <c r="M36" i="7"/>
  <c r="M33" i="7"/>
  <c r="M23" i="7"/>
  <c r="M20" i="7"/>
  <c r="N12" i="7"/>
  <c r="N8" i="7"/>
  <c r="H8" i="7"/>
  <c r="G25" i="8"/>
  <c r="A1" i="8"/>
  <c r="H12" i="15"/>
  <c r="F11" i="15"/>
  <c r="D8" i="15"/>
  <c r="A1" i="15"/>
  <c r="C12" i="14"/>
  <c r="F11" i="14"/>
  <c r="D8" i="14"/>
  <c r="A2" i="14"/>
  <c r="C8" i="13"/>
  <c r="N8" i="13" s="1"/>
  <c r="F65" i="12"/>
  <c r="C60" i="12"/>
  <c r="C56" i="12"/>
  <c r="E49" i="12"/>
  <c r="C48" i="12"/>
  <c r="E45" i="12"/>
  <c r="C44" i="12"/>
  <c r="E41" i="12"/>
  <c r="C40" i="12"/>
  <c r="E37" i="12"/>
  <c r="F27" i="6"/>
  <c r="F22" i="6"/>
  <c r="F17" i="6"/>
  <c r="F12" i="6"/>
  <c r="F7" i="6"/>
  <c r="A1" i="6"/>
  <c r="H55" i="7"/>
  <c r="L47" i="7"/>
  <c r="L44" i="7"/>
  <c r="L36" i="7"/>
  <c r="L33" i="7"/>
  <c r="L23" i="7"/>
  <c r="L20" i="7"/>
  <c r="O12" i="7"/>
  <c r="O8" i="7"/>
  <c r="H7" i="7"/>
  <c r="G24" i="8"/>
  <c r="A1" i="9"/>
  <c r="G12" i="15"/>
  <c r="D27" i="6"/>
  <c r="D22" i="6"/>
  <c r="D17" i="6"/>
  <c r="D12" i="6"/>
  <c r="D7" i="6"/>
  <c r="H70" i="7"/>
  <c r="H47" i="7"/>
  <c r="N49" i="7"/>
  <c r="N45" i="7"/>
  <c r="N38" i="7"/>
  <c r="N34" i="7"/>
  <c r="M25" i="7"/>
  <c r="M21" i="7"/>
  <c r="H21" i="7"/>
  <c r="N10" i="7"/>
  <c r="N7" i="7"/>
  <c r="G32" i="8"/>
  <c r="G12" i="8"/>
  <c r="O38" i="7"/>
  <c r="G14" i="8"/>
  <c r="G14" i="14"/>
  <c r="H7" i="14"/>
  <c r="F59" i="12"/>
  <c r="C42" i="12"/>
  <c r="E39" i="12"/>
  <c r="E32" i="12"/>
  <c r="C28" i="12"/>
  <c r="E25" i="12"/>
  <c r="C24" i="12"/>
  <c r="E18" i="12"/>
  <c r="C17" i="12"/>
  <c r="E14" i="12"/>
  <c r="C13" i="12"/>
  <c r="E10" i="12"/>
  <c r="C9" i="12"/>
  <c r="G3" i="12"/>
  <c r="H36" i="11"/>
  <c r="C36" i="11"/>
  <c r="E32" i="11"/>
  <c r="H26" i="11"/>
  <c r="C26" i="11"/>
  <c r="I19" i="11"/>
  <c r="D19" i="11"/>
  <c r="D18" i="11"/>
  <c r="G14" i="11"/>
  <c r="H11" i="11"/>
  <c r="E13" i="11"/>
  <c r="I9" i="11"/>
  <c r="G8" i="11"/>
  <c r="F71" i="12" s="1"/>
  <c r="G37" i="11"/>
  <c r="I33" i="11"/>
  <c r="D33" i="11"/>
  <c r="G27" i="11"/>
  <c r="I22" i="11"/>
  <c r="E17" i="6"/>
  <c r="O34" i="7"/>
  <c r="D11" i="15"/>
  <c r="D12" i="14"/>
  <c r="G7" i="14"/>
  <c r="F66" i="12"/>
  <c r="F58" i="12"/>
  <c r="F55" i="12"/>
  <c r="H43" i="12"/>
  <c r="D41" i="12"/>
  <c r="F38" i="12"/>
  <c r="F33" i="12"/>
  <c r="D32" i="12"/>
  <c r="F26" i="12"/>
  <c r="D25" i="12"/>
  <c r="H20" i="12"/>
  <c r="F19" i="12"/>
  <c r="D18" i="12"/>
  <c r="F15" i="12"/>
  <c r="D14" i="12"/>
  <c r="F11" i="12"/>
  <c r="D10" i="12"/>
  <c r="F3" i="12"/>
  <c r="E12" i="6"/>
  <c r="L25" i="7"/>
  <c r="C11" i="15"/>
  <c r="H8" i="13"/>
  <c r="E58" i="12"/>
  <c r="F54" i="12"/>
  <c r="F47" i="12"/>
  <c r="G43" i="12"/>
  <c r="C41" i="12"/>
  <c r="E38" i="12"/>
  <c r="E33" i="12"/>
  <c r="C32" i="12"/>
  <c r="E26" i="12"/>
  <c r="C25" i="12"/>
  <c r="G20" i="12"/>
  <c r="E19" i="12"/>
  <c r="C18" i="12"/>
  <c r="E15" i="12"/>
  <c r="C14" i="12"/>
  <c r="E11" i="12"/>
  <c r="C10" i="12"/>
  <c r="E3" i="12"/>
  <c r="G36" i="11"/>
  <c r="I32" i="11"/>
  <c r="D32" i="11"/>
  <c r="G26" i="11"/>
  <c r="H22" i="11"/>
  <c r="H20" i="11"/>
  <c r="C20" i="11"/>
  <c r="C11" i="11"/>
  <c r="H13" i="11"/>
  <c r="E15" i="11"/>
  <c r="C13" i="11"/>
  <c r="G9" i="11"/>
  <c r="D8" i="11"/>
  <c r="E7" i="6"/>
  <c r="L21" i="7"/>
  <c r="C8" i="15"/>
  <c r="F12" i="14"/>
  <c r="H7" i="13"/>
  <c r="E65" i="12"/>
  <c r="D58" i="12"/>
  <c r="E54" i="12"/>
  <c r="F46" i="12"/>
  <c r="F43" i="12"/>
  <c r="D38" i="12"/>
  <c r="D33" i="12"/>
  <c r="H28" i="12"/>
  <c r="F27" i="12"/>
  <c r="D26" i="12"/>
  <c r="F20" i="12"/>
  <c r="D19" i="12"/>
  <c r="H17" i="12"/>
  <c r="F16" i="12"/>
  <c r="D15" i="12"/>
  <c r="F12" i="12"/>
  <c r="D11" i="12"/>
  <c r="F4" i="12"/>
  <c r="D3" i="12"/>
  <c r="E37" i="11"/>
  <c r="H33" i="11"/>
  <c r="C33" i="11"/>
  <c r="E27" i="11"/>
  <c r="G22" i="11"/>
  <c r="H19" i="11"/>
  <c r="C19" i="11"/>
  <c r="I15" i="11"/>
  <c r="G13" i="11"/>
  <c r="D15" i="11"/>
  <c r="E12" i="11"/>
  <c r="E9" i="11"/>
  <c r="C8" i="11"/>
  <c r="H72" i="7"/>
  <c r="H20" i="7"/>
  <c r="H14" i="15"/>
  <c r="H7" i="15"/>
  <c r="G7" i="13"/>
  <c r="D65" i="12"/>
  <c r="D57" i="12"/>
  <c r="D54" i="12"/>
  <c r="E46" i="12"/>
  <c r="E43" i="12"/>
  <c r="C38" i="12"/>
  <c r="C33" i="12"/>
  <c r="G28" i="12"/>
  <c r="E27" i="12"/>
  <c r="C26" i="12"/>
  <c r="C19" i="12"/>
  <c r="G17" i="12"/>
  <c r="E16" i="12"/>
  <c r="C15" i="12"/>
  <c r="E12" i="12"/>
  <c r="C11" i="12"/>
  <c r="E4" i="12"/>
  <c r="C3" i="12"/>
  <c r="E36" i="11"/>
  <c r="H32" i="11"/>
  <c r="C32" i="11"/>
  <c r="E26" i="11"/>
  <c r="E22" i="11"/>
  <c r="G20" i="11"/>
  <c r="I18" i="11"/>
  <c r="H15" i="11"/>
  <c r="I12" i="11"/>
  <c r="C15" i="11"/>
  <c r="D9" i="11"/>
  <c r="A1" i="11"/>
  <c r="H49" i="7"/>
  <c r="O10" i="7"/>
  <c r="G14" i="15"/>
  <c r="G7" i="15"/>
  <c r="D11" i="14"/>
  <c r="C65" i="12"/>
  <c r="C57" i="12"/>
  <c r="D49" i="12"/>
  <c r="D46" i="12"/>
  <c r="F42" i="12"/>
  <c r="H39" i="12"/>
  <c r="D37" i="12"/>
  <c r="F28" i="12"/>
  <c r="D27" i="12"/>
  <c r="F24" i="12"/>
  <c r="D20" i="12"/>
  <c r="F17" i="12"/>
  <c r="D16" i="12"/>
  <c r="F13" i="12"/>
  <c r="D12" i="12"/>
  <c r="F9" i="12"/>
  <c r="D4" i="12"/>
  <c r="A1" i="12"/>
  <c r="O45" i="7"/>
  <c r="A1" i="7"/>
  <c r="H14" i="14"/>
  <c r="C8" i="14"/>
  <c r="C12" i="11"/>
  <c r="H12" i="11"/>
  <c r="H18" i="11"/>
  <c r="D22" i="11"/>
  <c r="G32" i="11"/>
  <c r="D13" i="12"/>
  <c r="F18" i="12"/>
  <c r="F39" i="12"/>
  <c r="C27" i="11"/>
  <c r="C4" i="12"/>
  <c r="H8" i="11"/>
  <c r="D26" i="11"/>
  <c r="D9" i="12"/>
  <c r="F14" i="12"/>
  <c r="D28" i="12"/>
  <c r="G59" i="12"/>
  <c r="D14" i="11"/>
  <c r="E20" i="11"/>
  <c r="D27" i="11"/>
  <c r="D36" i="11"/>
  <c r="E9" i="12"/>
  <c r="C20" i="12"/>
  <c r="E28" i="12"/>
  <c r="E42" i="12"/>
  <c r="H59" i="12"/>
  <c r="O7" i="7"/>
  <c r="I13" i="11"/>
  <c r="C27" i="12"/>
  <c r="G19" i="11"/>
  <c r="F10" i="12"/>
  <c r="D24" i="12"/>
  <c r="F32" i="12"/>
  <c r="C45" i="12"/>
  <c r="F12" i="15"/>
  <c r="O49" i="7"/>
  <c r="G33" i="11"/>
  <c r="H14" i="11"/>
  <c r="D42" i="12"/>
  <c r="I8" i="11"/>
  <c r="I14" i="11"/>
  <c r="C9" i="11"/>
  <c r="E14" i="11"/>
  <c r="G15" i="11"/>
  <c r="H27" i="11"/>
  <c r="D37" i="11"/>
  <c r="H9" i="11"/>
  <c r="G11" i="11"/>
  <c r="C18" i="11"/>
  <c r="I20" i="11"/>
  <c r="I26" i="11"/>
  <c r="H37" i="11"/>
  <c r="C16" i="12"/>
  <c r="E24" i="12"/>
  <c r="D45" i="12"/>
  <c r="E8" i="11"/>
  <c r="D20" i="11"/>
  <c r="G39" i="12"/>
  <c r="E19" i="11"/>
  <c r="C11" i="14"/>
  <c r="D11" i="11"/>
  <c r="I11" i="11"/>
  <c r="E18" i="11"/>
  <c r="I27" i="11"/>
  <c r="D17" i="12"/>
  <c r="F25" i="12"/>
  <c r="C14" i="11"/>
  <c r="C37" i="11"/>
  <c r="E11" i="11"/>
  <c r="G12" i="11"/>
  <c r="G18" i="11"/>
  <c r="C22" i="11"/>
  <c r="E33" i="11"/>
  <c r="I37" i="11"/>
  <c r="C12" i="12"/>
  <c r="E17" i="12"/>
  <c r="G25" i="12"/>
  <c r="C37" i="12"/>
  <c r="C72" i="12" s="1"/>
  <c r="C49" i="12"/>
  <c r="I9" i="25" l="1"/>
  <c r="D33" i="10"/>
  <c r="D35" i="10" s="1"/>
  <c r="D15" i="10"/>
  <c r="D23" i="10" s="1"/>
  <c r="D21" i="10"/>
  <c r="G15" i="10"/>
  <c r="G23" i="10" s="1"/>
  <c r="F21" i="10"/>
  <c r="D44" i="10"/>
  <c r="H9" i="25"/>
  <c r="I52" i="10"/>
  <c r="C33" i="10"/>
  <c r="C35" i="10" s="1"/>
  <c r="J11" i="13"/>
  <c r="T11" i="13"/>
  <c r="E15" i="10"/>
  <c r="E23" i="10" s="1"/>
  <c r="E33" i="10"/>
  <c r="E35" i="10" s="1"/>
  <c r="C52" i="10"/>
  <c r="G52" i="10"/>
  <c r="F44" i="10"/>
  <c r="C15" i="10"/>
  <c r="C23" i="10" s="1"/>
  <c r="J12" i="13"/>
  <c r="T12" i="13"/>
  <c r="I15" i="10"/>
  <c r="I33" i="10"/>
  <c r="I35" i="10" s="1"/>
  <c r="G33" i="10"/>
  <c r="G35" i="10" s="1"/>
  <c r="C21" i="10"/>
  <c r="T14" i="13"/>
  <c r="J14" i="13"/>
  <c r="I44" i="10"/>
  <c r="S11" i="13"/>
  <c r="L11" i="13"/>
  <c r="S14" i="13"/>
  <c r="L14" i="13"/>
  <c r="H21" i="10"/>
  <c r="I21" i="10"/>
  <c r="H44" i="10"/>
  <c r="H15" i="10"/>
  <c r="E44" i="10"/>
  <c r="G44" i="10"/>
  <c r="G54" i="10"/>
  <c r="G55" i="10" s="1"/>
  <c r="H52" i="10"/>
  <c r="C44" i="10"/>
  <c r="H33" i="10"/>
  <c r="H35" i="10" s="1"/>
  <c r="E52" i="10"/>
  <c r="E54" i="10" s="1"/>
  <c r="F52" i="10"/>
  <c r="F54" i="10" s="1"/>
  <c r="R9" i="15"/>
  <c r="R10" i="15" s="1"/>
  <c r="S12" i="13"/>
  <c r="L12" i="13"/>
  <c r="F15" i="10"/>
  <c r="F33" i="10"/>
  <c r="F35" i="10" s="1"/>
  <c r="D52" i="10"/>
  <c r="D54" i="10" s="1"/>
  <c r="D55" i="10" s="1"/>
  <c r="O8" i="13"/>
  <c r="H13" i="13"/>
  <c r="S13" i="13" s="1"/>
  <c r="H15" i="13"/>
  <c r="S15" i="13" s="1"/>
  <c r="D15" i="13"/>
  <c r="O15" i="13" s="1"/>
  <c r="D13" i="13"/>
  <c r="O13" i="13" s="1"/>
  <c r="F13" i="13"/>
  <c r="Q13" i="13" s="1"/>
  <c r="F15" i="13"/>
  <c r="Q15" i="13" s="1"/>
  <c r="C13" i="13"/>
  <c r="N13" i="13" s="1"/>
  <c r="C15" i="13"/>
  <c r="N15" i="13" s="1"/>
  <c r="E13" i="13"/>
  <c r="P13" i="13" s="1"/>
  <c r="E15" i="13"/>
  <c r="P15" i="13" s="1"/>
  <c r="R7" i="13"/>
  <c r="G13" i="13"/>
  <c r="R13" i="13" s="1"/>
  <c r="G15" i="13"/>
  <c r="R15" i="13" s="1"/>
  <c r="I13" i="13"/>
  <c r="T13" i="13" s="1"/>
  <c r="I15" i="13"/>
  <c r="T15" i="13" s="1"/>
  <c r="D79" i="7"/>
  <c r="H18" i="25"/>
  <c r="E18" i="25"/>
  <c r="C18" i="25"/>
  <c r="D18" i="25"/>
  <c r="N7" i="13"/>
  <c r="Q8" i="13"/>
  <c r="R8" i="13"/>
  <c r="Q7" i="13"/>
  <c r="S7" i="13"/>
  <c r="F18" i="25"/>
  <c r="E44" i="7"/>
  <c r="E47" i="7"/>
  <c r="E49" i="7"/>
  <c r="T7" i="13"/>
  <c r="I18" i="25"/>
  <c r="P8" i="13"/>
  <c r="D49" i="7"/>
  <c r="E55" i="7"/>
  <c r="G18" i="25"/>
  <c r="F9" i="24"/>
  <c r="D44" i="7"/>
  <c r="F18" i="24"/>
  <c r="D47" i="7"/>
  <c r="P7" i="13"/>
  <c r="O7" i="13"/>
  <c r="J8" i="25"/>
  <c r="K8" i="25" s="1"/>
  <c r="T8" i="13"/>
  <c r="S8" i="13"/>
  <c r="L8" i="25"/>
  <c r="M8" i="25" s="1"/>
  <c r="D20" i="25"/>
  <c r="E20" i="7"/>
  <c r="E79" i="7"/>
  <c r="I20" i="25"/>
  <c r="J7" i="25"/>
  <c r="K7" i="25" s="1"/>
  <c r="G9" i="24"/>
  <c r="G20" i="24" s="1"/>
  <c r="D55" i="7"/>
  <c r="G18" i="24"/>
  <c r="E7" i="7"/>
  <c r="C20" i="25"/>
  <c r="E33" i="7"/>
  <c r="E20" i="25"/>
  <c r="C70" i="7"/>
  <c r="C72" i="7"/>
  <c r="H9" i="24"/>
  <c r="H20" i="24" s="1"/>
  <c r="D67" i="7"/>
  <c r="H18" i="24"/>
  <c r="C19" i="24"/>
  <c r="C9" i="24"/>
  <c r="C20" i="24" s="1"/>
  <c r="D7" i="7"/>
  <c r="C18" i="24"/>
  <c r="L7" i="25"/>
  <c r="M7" i="25" s="1"/>
  <c r="E67" i="7"/>
  <c r="H20" i="25"/>
  <c r="D33" i="7"/>
  <c r="E9" i="24"/>
  <c r="E20" i="24" s="1"/>
  <c r="H19" i="24"/>
  <c r="D20" i="7"/>
  <c r="D9" i="24"/>
  <c r="D20" i="24" s="1"/>
  <c r="D18" i="24"/>
  <c r="D19" i="24"/>
  <c r="I23" i="13"/>
  <c r="I24" i="13"/>
  <c r="I5" i="12"/>
  <c r="I21" i="12" s="1"/>
  <c r="I30" i="12" s="1"/>
  <c r="I34" i="12" s="1"/>
  <c r="N78" i="9"/>
  <c r="N99" i="9"/>
  <c r="L36" i="9"/>
  <c r="I50" i="12"/>
  <c r="M37" i="11"/>
  <c r="N37" i="11" s="1"/>
  <c r="E57" i="9"/>
  <c r="C199" i="9"/>
  <c r="E183" i="9"/>
  <c r="N162" i="9"/>
  <c r="L78" i="9"/>
  <c r="C162" i="9"/>
  <c r="E36" i="9"/>
  <c r="M22" i="11"/>
  <c r="N22" i="11" s="1"/>
  <c r="M19" i="11"/>
  <c r="N19" i="11" s="1"/>
  <c r="M9" i="11"/>
  <c r="N9" i="11" s="1"/>
  <c r="M32" i="11"/>
  <c r="N32" i="11" s="1"/>
  <c r="M20" i="11"/>
  <c r="N20" i="11" s="1"/>
  <c r="C196" i="9"/>
  <c r="C36" i="9"/>
  <c r="C120" i="9"/>
  <c r="E78" i="9"/>
  <c r="C99" i="9"/>
  <c r="L14" i="9"/>
  <c r="N120" i="9"/>
  <c r="L120" i="9"/>
  <c r="N36" i="9"/>
  <c r="M11" i="11"/>
  <c r="N11" i="11" s="1"/>
  <c r="E99" i="9"/>
  <c r="C57" i="9"/>
  <c r="H71" i="12"/>
  <c r="I71" i="12"/>
  <c r="M18" i="11"/>
  <c r="N18" i="11" s="1"/>
  <c r="M36" i="11"/>
  <c r="N36" i="11" s="1"/>
  <c r="M13" i="11"/>
  <c r="N13" i="11" s="1"/>
  <c r="M33" i="11"/>
  <c r="N33" i="11" s="1"/>
  <c r="M14" i="11"/>
  <c r="N14" i="11" s="1"/>
  <c r="M27" i="11"/>
  <c r="N27" i="11" s="1"/>
  <c r="C78" i="9"/>
  <c r="E141" i="9"/>
  <c r="C198" i="9"/>
  <c r="E120" i="9"/>
  <c r="C141" i="9"/>
  <c r="L162" i="9"/>
  <c r="N141" i="9"/>
  <c r="L99" i="9"/>
  <c r="N14" i="9"/>
  <c r="M26" i="11"/>
  <c r="N26" i="11" s="1"/>
  <c r="M12" i="11"/>
  <c r="N12" i="11" s="1"/>
  <c r="M15" i="11"/>
  <c r="N15" i="11" s="1"/>
  <c r="C197" i="9"/>
  <c r="E162" i="9"/>
  <c r="C195" i="9"/>
  <c r="C183" i="9"/>
  <c r="L183" i="9"/>
  <c r="L57" i="9"/>
  <c r="L141" i="9"/>
  <c r="N183" i="9"/>
  <c r="N57" i="9"/>
  <c r="I61" i="12"/>
  <c r="K13" i="11"/>
  <c r="L13" i="11" s="1"/>
  <c r="K36" i="11"/>
  <c r="L36" i="11" s="1"/>
  <c r="M8" i="11"/>
  <c r="N8" i="11" s="1"/>
  <c r="K20" i="11"/>
  <c r="L20" i="11" s="1"/>
  <c r="K15" i="11"/>
  <c r="L15" i="11" s="1"/>
  <c r="K19" i="11"/>
  <c r="L19" i="11" s="1"/>
  <c r="K12" i="11"/>
  <c r="L12" i="11" s="1"/>
  <c r="K11" i="11"/>
  <c r="L11" i="11" s="1"/>
  <c r="J41" i="11"/>
  <c r="I8" i="22" s="1"/>
  <c r="K32" i="11"/>
  <c r="L32" i="11" s="1"/>
  <c r="J34" i="11"/>
  <c r="K22" i="11"/>
  <c r="L22" i="11" s="1"/>
  <c r="J38" i="11"/>
  <c r="K37" i="11"/>
  <c r="L37" i="11" s="1"/>
  <c r="K18" i="11"/>
  <c r="L18" i="11" s="1"/>
  <c r="K9" i="11"/>
  <c r="L9" i="11" s="1"/>
  <c r="K27" i="11"/>
  <c r="J42" i="11"/>
  <c r="K33" i="11"/>
  <c r="L33" i="11" s="1"/>
  <c r="K14" i="11"/>
  <c r="L14" i="11" s="1"/>
  <c r="K26" i="11"/>
  <c r="L26" i="11" s="1"/>
  <c r="K8" i="11"/>
  <c r="L8" i="11" s="1"/>
  <c r="J10" i="11"/>
  <c r="E71" i="12"/>
  <c r="D71" i="12"/>
  <c r="P44" i="7"/>
  <c r="P45" i="7"/>
  <c r="P47" i="7"/>
  <c r="F18" i="11"/>
  <c r="P49" i="7"/>
  <c r="D56" i="10" l="1"/>
  <c r="F23" i="10"/>
  <c r="H54" i="10"/>
  <c r="H55" i="10" s="1"/>
  <c r="C54" i="10"/>
  <c r="C55" i="10" s="1"/>
  <c r="C56" i="10" s="1"/>
  <c r="I23" i="10"/>
  <c r="U14" i="13"/>
  <c r="K14" i="13"/>
  <c r="V14" i="13" s="1"/>
  <c r="I7" i="22"/>
  <c r="F55" i="10"/>
  <c r="K11" i="13"/>
  <c r="V11" i="13" s="1"/>
  <c r="U11" i="13"/>
  <c r="U12" i="13"/>
  <c r="K12" i="13"/>
  <c r="V12" i="13" s="1"/>
  <c r="E55" i="10"/>
  <c r="E56" i="10" s="1"/>
  <c r="M14" i="13"/>
  <c r="X14" i="13" s="1"/>
  <c r="W14" i="13"/>
  <c r="H23" i="10"/>
  <c r="H56" i="10" s="1"/>
  <c r="I4" i="22"/>
  <c r="G56" i="10"/>
  <c r="W12" i="13"/>
  <c r="M12" i="13"/>
  <c r="X12" i="13" s="1"/>
  <c r="W11" i="13"/>
  <c r="M11" i="13"/>
  <c r="X11" i="13" s="1"/>
  <c r="I54" i="10"/>
  <c r="I55" i="10" s="1"/>
  <c r="I56" i="10" s="1"/>
  <c r="E48" i="7"/>
  <c r="D50" i="7"/>
  <c r="D48" i="7"/>
  <c r="E50" i="7"/>
  <c r="G10" i="25"/>
  <c r="G20" i="25"/>
  <c r="F10" i="25"/>
  <c r="F20" i="25"/>
  <c r="E45" i="7"/>
  <c r="E46" i="7" s="1"/>
  <c r="F10" i="24"/>
  <c r="F20" i="24"/>
  <c r="D45" i="7"/>
  <c r="D46" i="7" s="1"/>
  <c r="E56" i="7"/>
  <c r="E57" i="7" s="1"/>
  <c r="I63" i="12"/>
  <c r="I67" i="12" s="1"/>
  <c r="D10" i="25"/>
  <c r="E21" i="7"/>
  <c r="E22" i="7" s="1"/>
  <c r="D10" i="24"/>
  <c r="D21" i="7"/>
  <c r="E10" i="24"/>
  <c r="D34" i="7"/>
  <c r="D68" i="7"/>
  <c r="H10" i="24"/>
  <c r="C10" i="25"/>
  <c r="E8" i="7"/>
  <c r="E9" i="7" s="1"/>
  <c r="C10" i="24"/>
  <c r="D8" i="7"/>
  <c r="E80" i="7"/>
  <c r="E81" i="7" s="1"/>
  <c r="J9" i="25"/>
  <c r="K9" i="25" s="1"/>
  <c r="I10" i="25"/>
  <c r="H10" i="25"/>
  <c r="E68" i="7"/>
  <c r="E69" i="7" s="1"/>
  <c r="L9" i="25"/>
  <c r="M9" i="25" s="1"/>
  <c r="E10" i="25"/>
  <c r="E34" i="7"/>
  <c r="E35" i="7" s="1"/>
  <c r="G10" i="24"/>
  <c r="D56" i="7"/>
  <c r="I73" i="12"/>
  <c r="C201" i="9"/>
  <c r="J16" i="11"/>
  <c r="I5" i="22" s="1"/>
  <c r="P36" i="7"/>
  <c r="P34" i="7"/>
  <c r="P33" i="7"/>
  <c r="F56" i="10" l="1"/>
  <c r="D35" i="7"/>
  <c r="D22" i="7"/>
  <c r="D57" i="7"/>
  <c r="D9" i="7"/>
  <c r="D69" i="7"/>
  <c r="J21" i="11"/>
  <c r="P38" i="7"/>
  <c r="J23" i="11" l="1"/>
  <c r="P23" i="7"/>
  <c r="P21" i="7"/>
  <c r="P20" i="7"/>
  <c r="J28" i="11" l="1"/>
  <c r="P25" i="7"/>
  <c r="P10" i="7" l="1"/>
  <c r="P8" i="7"/>
  <c r="P7" i="7"/>
  <c r="P12" i="7"/>
  <c r="H73" i="7" l="1"/>
  <c r="H71" i="7"/>
  <c r="H69" i="7"/>
  <c r="H35" i="7"/>
  <c r="H37" i="7"/>
  <c r="H39" i="7"/>
  <c r="P13" i="7"/>
  <c r="O13" i="7"/>
  <c r="N13" i="7"/>
  <c r="M13" i="7"/>
  <c r="L13" i="7"/>
  <c r="H13" i="7"/>
  <c r="H61" i="7"/>
  <c r="H59" i="7"/>
  <c r="H57" i="7"/>
  <c r="P50" i="7"/>
  <c r="O50" i="7"/>
  <c r="N50" i="7"/>
  <c r="M50" i="7"/>
  <c r="L50" i="7"/>
  <c r="H50" i="7"/>
  <c r="P48" i="7"/>
  <c r="O48" i="7"/>
  <c r="N48" i="7"/>
  <c r="M48" i="7"/>
  <c r="L48" i="7"/>
  <c r="H48" i="7"/>
  <c r="P46" i="7"/>
  <c r="O46" i="7"/>
  <c r="N46" i="7"/>
  <c r="M46" i="7"/>
  <c r="L46" i="7"/>
  <c r="H46" i="7"/>
  <c r="P39" i="7"/>
  <c r="O39" i="7"/>
  <c r="N39" i="7"/>
  <c r="M39" i="7"/>
  <c r="L39" i="7"/>
  <c r="P37" i="7"/>
  <c r="O37" i="7"/>
  <c r="N37" i="7"/>
  <c r="M37" i="7"/>
  <c r="L37" i="7"/>
  <c r="P35" i="7"/>
  <c r="O35" i="7"/>
  <c r="N35" i="7"/>
  <c r="M35" i="7"/>
  <c r="L35" i="7"/>
  <c r="P26" i="7"/>
  <c r="O26" i="7"/>
  <c r="N26" i="7"/>
  <c r="M26" i="7"/>
  <c r="L26" i="7"/>
  <c r="P24" i="7"/>
  <c r="O24" i="7"/>
  <c r="N24" i="7"/>
  <c r="M24" i="7"/>
  <c r="L24" i="7"/>
  <c r="P22" i="7"/>
  <c r="O22" i="7"/>
  <c r="N22" i="7"/>
  <c r="M22" i="7"/>
  <c r="L22" i="7"/>
  <c r="H22" i="7"/>
  <c r="H26" i="7"/>
  <c r="H24" i="7"/>
  <c r="P11" i="7"/>
  <c r="O11" i="7"/>
  <c r="N11" i="7"/>
  <c r="M11" i="7"/>
  <c r="L11" i="7"/>
  <c r="P9" i="7"/>
  <c r="O9" i="7"/>
  <c r="N9" i="7"/>
  <c r="M9" i="7"/>
  <c r="L9" i="7"/>
  <c r="H11" i="7"/>
  <c r="H9" i="7"/>
  <c r="N31" i="8"/>
  <c r="J33" i="8"/>
  <c r="J32" i="8"/>
  <c r="N32" i="8"/>
  <c r="J31" i="8"/>
  <c r="N30" i="8"/>
  <c r="J30" i="8"/>
  <c r="J29" i="8"/>
  <c r="N29" i="8"/>
  <c r="J26" i="8"/>
  <c r="G26" i="8"/>
  <c r="N25" i="8"/>
  <c r="N24" i="8"/>
  <c r="J24" i="8"/>
  <c r="J14" i="8"/>
  <c r="J13" i="8"/>
  <c r="J12" i="8"/>
  <c r="N12" i="8"/>
  <c r="N14" i="8"/>
  <c r="N6" i="8"/>
  <c r="J15" i="8"/>
  <c r="J11" i="8"/>
  <c r="J8" i="8"/>
  <c r="J6" i="8"/>
  <c r="N209" i="9"/>
  <c r="L209" i="9"/>
  <c r="K190" i="9"/>
  <c r="Q181" i="9"/>
  <c r="P181" i="9"/>
  <c r="P180" i="9"/>
  <c r="Q179" i="9"/>
  <c r="P178" i="9"/>
  <c r="Q177" i="9"/>
  <c r="P177" i="9"/>
  <c r="K172" i="9"/>
  <c r="N169" i="9"/>
  <c r="L169" i="9"/>
  <c r="Q167" i="9"/>
  <c r="P167" i="9"/>
  <c r="Q160" i="9"/>
  <c r="P160" i="9"/>
  <c r="P159" i="9"/>
  <c r="Q159" i="9"/>
  <c r="Q158" i="9"/>
  <c r="P158" i="9"/>
  <c r="P157" i="9"/>
  <c r="Q157" i="9"/>
  <c r="Q156" i="9"/>
  <c r="K151" i="9"/>
  <c r="N148" i="9"/>
  <c r="Q146" i="9"/>
  <c r="P146" i="9"/>
  <c r="P139" i="9"/>
  <c r="P138" i="9"/>
  <c r="Q138" i="9"/>
  <c r="Q137" i="9"/>
  <c r="P137" i="9"/>
  <c r="Q136" i="9"/>
  <c r="P136" i="9"/>
  <c r="P135" i="9"/>
  <c r="K130" i="9"/>
  <c r="N127" i="9"/>
  <c r="L127" i="9"/>
  <c r="Q125" i="9"/>
  <c r="P125" i="9"/>
  <c r="P118" i="9"/>
  <c r="Q117" i="9"/>
  <c r="P117" i="9"/>
  <c r="Q116" i="9"/>
  <c r="Q115" i="9"/>
  <c r="P115" i="9"/>
  <c r="P114" i="9"/>
  <c r="K109" i="9"/>
  <c r="N106" i="9"/>
  <c r="L106" i="9"/>
  <c r="Q104" i="9"/>
  <c r="P104" i="9"/>
  <c r="Q97" i="9"/>
  <c r="Q96" i="9"/>
  <c r="P96" i="9"/>
  <c r="Q95" i="9"/>
  <c r="P94" i="9"/>
  <c r="K88" i="9"/>
  <c r="N85" i="9"/>
  <c r="L85" i="9"/>
  <c r="Q83" i="9"/>
  <c r="P83" i="9"/>
  <c r="Q76" i="9"/>
  <c r="P76" i="9"/>
  <c r="P75" i="9"/>
  <c r="Q74" i="9"/>
  <c r="P74" i="9"/>
  <c r="P73" i="9"/>
  <c r="Q72" i="9"/>
  <c r="K67" i="9"/>
  <c r="N64" i="9"/>
  <c r="L64" i="9"/>
  <c r="Q62" i="9"/>
  <c r="P62" i="9"/>
  <c r="Q55" i="9"/>
  <c r="P55" i="9"/>
  <c r="Q54" i="9"/>
  <c r="P53" i="9"/>
  <c r="Q51" i="9"/>
  <c r="P51" i="9"/>
  <c r="K46" i="9"/>
  <c r="Q41" i="9"/>
  <c r="P41" i="9"/>
  <c r="P34" i="9"/>
  <c r="Q33" i="9"/>
  <c r="P32" i="9"/>
  <c r="Q31" i="9"/>
  <c r="N196" i="9"/>
  <c r="P31" i="9"/>
  <c r="P30" i="9"/>
  <c r="K25" i="9"/>
  <c r="N22" i="9"/>
  <c r="L22" i="9"/>
  <c r="Q20" i="9"/>
  <c r="P20" i="9"/>
  <c r="Q12" i="9"/>
  <c r="P11" i="9"/>
  <c r="N197" i="9"/>
  <c r="Q9" i="9"/>
  <c r="P9" i="9"/>
  <c r="L196" i="9"/>
  <c r="E209" i="9"/>
  <c r="C209" i="9"/>
  <c r="E193" i="9"/>
  <c r="C193" i="9"/>
  <c r="B190" i="9"/>
  <c r="H181" i="9"/>
  <c r="G180" i="9"/>
  <c r="H180" i="9"/>
  <c r="G179" i="9"/>
  <c r="H179" i="9"/>
  <c r="H178" i="9"/>
  <c r="E175" i="9"/>
  <c r="C175" i="9"/>
  <c r="B172" i="9"/>
  <c r="E169" i="9"/>
  <c r="C169" i="9"/>
  <c r="H167" i="9"/>
  <c r="G167" i="9"/>
  <c r="C232" i="9" s="1"/>
  <c r="D232" i="9" s="1"/>
  <c r="E166" i="9"/>
  <c r="C166" i="9"/>
  <c r="H160" i="9"/>
  <c r="H159" i="9"/>
  <c r="G159" i="9"/>
  <c r="G158" i="9"/>
  <c r="H158" i="9"/>
  <c r="H157" i="9"/>
  <c r="E154" i="9"/>
  <c r="C154" i="9"/>
  <c r="B151" i="9"/>
  <c r="E148" i="9"/>
  <c r="C148" i="9"/>
  <c r="H146" i="9"/>
  <c r="G146" i="9"/>
  <c r="C231" i="9" s="1"/>
  <c r="D231" i="9" s="1"/>
  <c r="E145" i="9"/>
  <c r="C145" i="9"/>
  <c r="H139" i="9"/>
  <c r="H138" i="9"/>
  <c r="G138" i="9"/>
  <c r="G137" i="9"/>
  <c r="H137" i="9"/>
  <c r="F137" i="9"/>
  <c r="H136" i="9"/>
  <c r="E133" i="9"/>
  <c r="C133" i="9"/>
  <c r="B130" i="9"/>
  <c r="E127" i="9"/>
  <c r="C127" i="9"/>
  <c r="H125" i="9"/>
  <c r="G125" i="9"/>
  <c r="C230" i="9" s="1"/>
  <c r="D230" i="9" s="1"/>
  <c r="E124" i="9"/>
  <c r="C124" i="9"/>
  <c r="H118" i="9"/>
  <c r="H117" i="9"/>
  <c r="G117" i="9"/>
  <c r="G116" i="9"/>
  <c r="H116" i="9"/>
  <c r="H115" i="9"/>
  <c r="E112" i="9"/>
  <c r="C112" i="9"/>
  <c r="B109" i="9"/>
  <c r="E106" i="9"/>
  <c r="C106" i="9"/>
  <c r="H104" i="9"/>
  <c r="G104" i="9"/>
  <c r="C229" i="9" s="1"/>
  <c r="D229" i="9" s="1"/>
  <c r="E103" i="9"/>
  <c r="C103" i="9"/>
  <c r="H97" i="9"/>
  <c r="H96" i="9"/>
  <c r="G96" i="9"/>
  <c r="G95" i="9"/>
  <c r="H95" i="9"/>
  <c r="H94" i="9"/>
  <c r="E91" i="9"/>
  <c r="C91" i="9"/>
  <c r="B88" i="9"/>
  <c r="E85" i="9"/>
  <c r="C85" i="9"/>
  <c r="H83" i="9"/>
  <c r="G83" i="9"/>
  <c r="C228" i="9" s="1"/>
  <c r="D228" i="9" s="1"/>
  <c r="E82" i="9"/>
  <c r="C82" i="9"/>
  <c r="H76" i="9"/>
  <c r="H75" i="9"/>
  <c r="G75" i="9"/>
  <c r="G74" i="9"/>
  <c r="H74" i="9"/>
  <c r="H73" i="9"/>
  <c r="H72" i="9"/>
  <c r="E70" i="9"/>
  <c r="C70" i="9"/>
  <c r="B67" i="9"/>
  <c r="E64" i="9"/>
  <c r="C64" i="9"/>
  <c r="H62" i="9"/>
  <c r="G62" i="9"/>
  <c r="C227" i="9" s="1"/>
  <c r="D227" i="9" s="1"/>
  <c r="E61" i="9"/>
  <c r="C61" i="9"/>
  <c r="H55" i="9"/>
  <c r="H54" i="9"/>
  <c r="G54" i="9"/>
  <c r="G53" i="9"/>
  <c r="H53" i="9"/>
  <c r="H52" i="9"/>
  <c r="H51" i="9"/>
  <c r="E49" i="9"/>
  <c r="C49" i="9"/>
  <c r="B46" i="9"/>
  <c r="H41" i="9"/>
  <c r="G41" i="9"/>
  <c r="C226" i="9" s="1"/>
  <c r="D226" i="9" s="1"/>
  <c r="E40" i="9"/>
  <c r="C40" i="9"/>
  <c r="H34" i="9"/>
  <c r="H33" i="9"/>
  <c r="G33" i="9"/>
  <c r="H30" i="9"/>
  <c r="E28" i="9"/>
  <c r="C28" i="9"/>
  <c r="B25" i="9"/>
  <c r="E22" i="9"/>
  <c r="H21" i="9"/>
  <c r="H20" i="9"/>
  <c r="G20" i="9"/>
  <c r="C225" i="9" s="1"/>
  <c r="D225" i="9" s="1"/>
  <c r="E19" i="9"/>
  <c r="C19" i="9"/>
  <c r="H12" i="9"/>
  <c r="H11" i="9"/>
  <c r="G11" i="9"/>
  <c r="E196" i="9"/>
  <c r="H8" i="9"/>
  <c r="C224" i="9" l="1"/>
  <c r="L27" i="6"/>
  <c r="C43" i="9"/>
  <c r="C210" i="9"/>
  <c r="N43" i="9"/>
  <c r="N210" i="9"/>
  <c r="E43" i="9"/>
  <c r="E210" i="9"/>
  <c r="L43" i="9"/>
  <c r="L210" i="9"/>
  <c r="H106" i="9"/>
  <c r="C22" i="9"/>
  <c r="H22" i="9" s="1"/>
  <c r="Q21" i="9"/>
  <c r="G84" i="9"/>
  <c r="C242" i="9" s="1"/>
  <c r="D242" i="9" s="1"/>
  <c r="G63" i="9"/>
  <c r="C241" i="9" s="1"/>
  <c r="D241" i="9" s="1"/>
  <c r="G42" i="9"/>
  <c r="C240" i="9" s="1"/>
  <c r="D240" i="9" s="1"/>
  <c r="G33" i="8"/>
  <c r="G27" i="8"/>
  <c r="O78" i="9"/>
  <c r="O75" i="9"/>
  <c r="O74" i="9"/>
  <c r="O76" i="9"/>
  <c r="O72" i="9"/>
  <c r="O73" i="9"/>
  <c r="O99" i="9"/>
  <c r="O96" i="9"/>
  <c r="O94" i="9"/>
  <c r="O95" i="9"/>
  <c r="O97" i="9"/>
  <c r="O93" i="9"/>
  <c r="M183" i="9"/>
  <c r="M177" i="9"/>
  <c r="M179" i="9"/>
  <c r="M181" i="9"/>
  <c r="M180" i="9"/>
  <c r="M178" i="9"/>
  <c r="M14" i="9"/>
  <c r="M12" i="9"/>
  <c r="M8" i="9"/>
  <c r="M11" i="9"/>
  <c r="M10" i="9"/>
  <c r="M9" i="9"/>
  <c r="M57" i="9"/>
  <c r="M53" i="9"/>
  <c r="M51" i="9"/>
  <c r="M54" i="9"/>
  <c r="M55" i="9"/>
  <c r="M52" i="9"/>
  <c r="O57" i="9"/>
  <c r="O55" i="9"/>
  <c r="O51" i="9"/>
  <c r="O52" i="9"/>
  <c r="O53" i="9"/>
  <c r="O54" i="9"/>
  <c r="D138" i="9"/>
  <c r="F177" i="9"/>
  <c r="D180" i="9"/>
  <c r="D159" i="9"/>
  <c r="D117" i="9"/>
  <c r="F93" i="9"/>
  <c r="F74" i="9"/>
  <c r="F72" i="9"/>
  <c r="N26" i="8"/>
  <c r="N11" i="8"/>
  <c r="N7" i="8"/>
  <c r="N8" i="8" s="1"/>
  <c r="N9" i="8" s="1"/>
  <c r="G8" i="8"/>
  <c r="Q42" i="9"/>
  <c r="L148" i="9"/>
  <c r="Q148" i="9" s="1"/>
  <c r="P21" i="9"/>
  <c r="Q57" i="9"/>
  <c r="P57" i="9"/>
  <c r="Q64" i="9"/>
  <c r="P64" i="9"/>
  <c r="Q127" i="9"/>
  <c r="P127" i="9"/>
  <c r="Q169" i="9"/>
  <c r="P169" i="9"/>
  <c r="P106" i="9"/>
  <c r="Q106" i="9"/>
  <c r="Q196" i="9"/>
  <c r="P196" i="9"/>
  <c r="Q22" i="9"/>
  <c r="P22" i="9"/>
  <c r="P85" i="9"/>
  <c r="Q85" i="9"/>
  <c r="Q11" i="9"/>
  <c r="Q53" i="9"/>
  <c r="Q139" i="9"/>
  <c r="Q180" i="9"/>
  <c r="L195" i="9"/>
  <c r="P10" i="9"/>
  <c r="Q32" i="9"/>
  <c r="P52" i="9"/>
  <c r="Q73" i="9"/>
  <c r="P93" i="9"/>
  <c r="P97" i="9"/>
  <c r="Q114" i="9"/>
  <c r="Q118" i="9"/>
  <c r="P179" i="9"/>
  <c r="P183" i="9"/>
  <c r="Q94" i="9"/>
  <c r="Q135" i="9"/>
  <c r="L199" i="9"/>
  <c r="Q10" i="9"/>
  <c r="Q52" i="9"/>
  <c r="P72" i="9"/>
  <c r="Q93" i="9"/>
  <c r="N195" i="9"/>
  <c r="L198" i="9"/>
  <c r="N199" i="9"/>
  <c r="Q178" i="9"/>
  <c r="L197" i="9"/>
  <c r="N198" i="9"/>
  <c r="P84" i="9"/>
  <c r="P116" i="9"/>
  <c r="P8" i="9"/>
  <c r="P12" i="9"/>
  <c r="Q30" i="9"/>
  <c r="Q34" i="9"/>
  <c r="P54" i="9"/>
  <c r="P63" i="9"/>
  <c r="Q75" i="9"/>
  <c r="Q84" i="9"/>
  <c r="P95" i="9"/>
  <c r="Q8" i="9"/>
  <c r="P33" i="9"/>
  <c r="P42" i="9"/>
  <c r="Q63" i="9"/>
  <c r="P156" i="9"/>
  <c r="F114" i="9"/>
  <c r="F138" i="9"/>
  <c r="F141" i="9"/>
  <c r="F30" i="9"/>
  <c r="D95" i="9"/>
  <c r="H99" i="9"/>
  <c r="D96" i="9"/>
  <c r="G99" i="9"/>
  <c r="D99" i="9"/>
  <c r="F139" i="9"/>
  <c r="D179" i="9"/>
  <c r="H183" i="9"/>
  <c r="G183" i="9"/>
  <c r="D183" i="9"/>
  <c r="F117" i="9"/>
  <c r="F120" i="9"/>
  <c r="H196" i="9"/>
  <c r="G196" i="9"/>
  <c r="F36" i="9"/>
  <c r="F31" i="9"/>
  <c r="F34" i="9"/>
  <c r="F118" i="9"/>
  <c r="D158" i="9"/>
  <c r="D162" i="9"/>
  <c r="H64" i="9"/>
  <c r="G64" i="9"/>
  <c r="F96" i="9"/>
  <c r="F97" i="9"/>
  <c r="F99" i="9"/>
  <c r="H148" i="9"/>
  <c r="G148" i="9"/>
  <c r="F181" i="9"/>
  <c r="F32" i="9"/>
  <c r="H85" i="9"/>
  <c r="D137" i="9"/>
  <c r="H141" i="9"/>
  <c r="G141" i="9"/>
  <c r="D141" i="9"/>
  <c r="H169" i="9"/>
  <c r="F116" i="9"/>
  <c r="F180" i="9"/>
  <c r="F183" i="9"/>
  <c r="F95" i="9"/>
  <c r="H127" i="9"/>
  <c r="G127" i="9"/>
  <c r="F135" i="9"/>
  <c r="F179" i="9"/>
  <c r="F75" i="9"/>
  <c r="F78" i="9"/>
  <c r="F33" i="9"/>
  <c r="F76" i="9"/>
  <c r="D116" i="9"/>
  <c r="H120" i="9"/>
  <c r="G120" i="9"/>
  <c r="D120" i="9"/>
  <c r="D55" i="9"/>
  <c r="G10" i="9"/>
  <c r="E14" i="9"/>
  <c r="G32" i="9"/>
  <c r="H42" i="9"/>
  <c r="H63" i="9"/>
  <c r="H84" i="9"/>
  <c r="D94" i="9"/>
  <c r="D115" i="9"/>
  <c r="D136" i="9"/>
  <c r="D157" i="9"/>
  <c r="D178" i="9"/>
  <c r="H32" i="9"/>
  <c r="G9" i="9"/>
  <c r="G31" i="9"/>
  <c r="F73" i="9"/>
  <c r="D93" i="9"/>
  <c r="F94" i="9"/>
  <c r="D97" i="9"/>
  <c r="D114" i="9"/>
  <c r="F115" i="9"/>
  <c r="D118" i="9"/>
  <c r="D135" i="9"/>
  <c r="F136" i="9"/>
  <c r="D139" i="9"/>
  <c r="D156" i="9"/>
  <c r="D160" i="9"/>
  <c r="D177" i="9"/>
  <c r="F178" i="9"/>
  <c r="D181" i="9"/>
  <c r="E195" i="9"/>
  <c r="E199" i="9"/>
  <c r="C14" i="9"/>
  <c r="H9" i="9"/>
  <c r="H31" i="9"/>
  <c r="G52" i="9"/>
  <c r="G73" i="9"/>
  <c r="G85" i="9"/>
  <c r="G94" i="9"/>
  <c r="G106" i="9"/>
  <c r="G115" i="9"/>
  <c r="G136" i="9"/>
  <c r="G157" i="9"/>
  <c r="G169" i="9"/>
  <c r="G178" i="9"/>
  <c r="H10" i="9"/>
  <c r="G12" i="9"/>
  <c r="G30" i="9"/>
  <c r="G34" i="9"/>
  <c r="E198" i="9"/>
  <c r="G8" i="9"/>
  <c r="G51" i="9"/>
  <c r="G55" i="9"/>
  <c r="G72" i="9"/>
  <c r="G76" i="9"/>
  <c r="G93" i="9"/>
  <c r="G97" i="9"/>
  <c r="G114" i="9"/>
  <c r="G118" i="9"/>
  <c r="G135" i="9"/>
  <c r="G139" i="9"/>
  <c r="G156" i="9"/>
  <c r="G160" i="9"/>
  <c r="G177" i="9"/>
  <c r="G181" i="9"/>
  <c r="H93" i="9"/>
  <c r="H114" i="9"/>
  <c r="H135" i="9"/>
  <c r="H156" i="9"/>
  <c r="H177" i="9"/>
  <c r="E197" i="9"/>
  <c r="C238" i="9" l="1"/>
  <c r="D224" i="9"/>
  <c r="C233" i="9"/>
  <c r="D233" i="9" s="1"/>
  <c r="L26" i="6"/>
  <c r="H43" i="9"/>
  <c r="G22" i="9"/>
  <c r="P43" i="9"/>
  <c r="Q43" i="9"/>
  <c r="G43" i="9"/>
  <c r="P148" i="9"/>
  <c r="G15" i="8"/>
  <c r="G9" i="8"/>
  <c r="N33" i="8"/>
  <c r="N27" i="8"/>
  <c r="M36" i="9"/>
  <c r="M31" i="9"/>
  <c r="M32" i="9"/>
  <c r="M34" i="9"/>
  <c r="M30" i="9"/>
  <c r="M33" i="9"/>
  <c r="M78" i="9"/>
  <c r="M74" i="9"/>
  <c r="M73" i="9"/>
  <c r="M76" i="9"/>
  <c r="M72" i="9"/>
  <c r="M75" i="9"/>
  <c r="O141" i="9"/>
  <c r="O139" i="9"/>
  <c r="O135" i="9"/>
  <c r="O136" i="9"/>
  <c r="O137" i="9"/>
  <c r="O138" i="9"/>
  <c r="O162" i="9"/>
  <c r="O158" i="9"/>
  <c r="O156" i="9"/>
  <c r="O159" i="9"/>
  <c r="O157" i="9"/>
  <c r="O160" i="9"/>
  <c r="M162" i="9"/>
  <c r="M159" i="9"/>
  <c r="M156" i="9"/>
  <c r="M158" i="9"/>
  <c r="M157" i="9"/>
  <c r="M160" i="9"/>
  <c r="M120" i="9"/>
  <c r="M114" i="9"/>
  <c r="M116" i="9"/>
  <c r="M117" i="9"/>
  <c r="M115" i="9"/>
  <c r="M118" i="9"/>
  <c r="M141" i="9"/>
  <c r="M136" i="9"/>
  <c r="M137" i="9"/>
  <c r="M138" i="9"/>
  <c r="M135" i="9"/>
  <c r="M139" i="9"/>
  <c r="O14" i="9"/>
  <c r="O12" i="9"/>
  <c r="O8" i="9"/>
  <c r="O11" i="9"/>
  <c r="O10" i="9"/>
  <c r="O9" i="9"/>
  <c r="O183" i="9"/>
  <c r="O178" i="9"/>
  <c r="O179" i="9"/>
  <c r="O177" i="9"/>
  <c r="O181" i="9"/>
  <c r="O180" i="9"/>
  <c r="O120" i="9"/>
  <c r="O114" i="9"/>
  <c r="O115" i="9"/>
  <c r="O117" i="9"/>
  <c r="O116" i="9"/>
  <c r="O118" i="9"/>
  <c r="O36" i="9"/>
  <c r="O30" i="9"/>
  <c r="O31" i="9"/>
  <c r="O33" i="9"/>
  <c r="O34" i="9"/>
  <c r="O32" i="9"/>
  <c r="M99" i="9"/>
  <c r="M94" i="9"/>
  <c r="M97" i="9"/>
  <c r="M96" i="9"/>
  <c r="M93" i="9"/>
  <c r="M95" i="9"/>
  <c r="D51" i="9"/>
  <c r="G162" i="9"/>
  <c r="F156" i="9"/>
  <c r="H162" i="9"/>
  <c r="F158" i="9"/>
  <c r="F160" i="9"/>
  <c r="F157" i="9"/>
  <c r="D73" i="9"/>
  <c r="F53" i="9"/>
  <c r="D31" i="9"/>
  <c r="D9" i="9"/>
  <c r="D10" i="9"/>
  <c r="N15" i="8"/>
  <c r="Q141" i="9"/>
  <c r="P141" i="9"/>
  <c r="Q78" i="9"/>
  <c r="P78" i="9"/>
  <c r="P99" i="9"/>
  <c r="Q99" i="9"/>
  <c r="Q198" i="9"/>
  <c r="P198" i="9"/>
  <c r="Q120" i="9"/>
  <c r="P120" i="9"/>
  <c r="L201" i="9"/>
  <c r="Q195" i="9"/>
  <c r="P195" i="9"/>
  <c r="Q197" i="9"/>
  <c r="P197" i="9"/>
  <c r="N201" i="9"/>
  <c r="Q199" i="9"/>
  <c r="P199" i="9"/>
  <c r="Q183" i="9"/>
  <c r="Q36" i="9"/>
  <c r="P36" i="9"/>
  <c r="Q162" i="9"/>
  <c r="P162" i="9"/>
  <c r="Q14" i="9"/>
  <c r="P14" i="9"/>
  <c r="H199" i="9"/>
  <c r="G199" i="9"/>
  <c r="D32" i="9"/>
  <c r="F55" i="9"/>
  <c r="H198" i="9"/>
  <c r="G198" i="9"/>
  <c r="D53" i="9"/>
  <c r="H57" i="9"/>
  <c r="D54" i="9"/>
  <c r="G57" i="9"/>
  <c r="D57" i="9"/>
  <c r="F54" i="9"/>
  <c r="F57" i="9"/>
  <c r="F14" i="9"/>
  <c r="F9" i="9"/>
  <c r="D74" i="9"/>
  <c r="H78" i="9"/>
  <c r="G78" i="9"/>
  <c r="D78" i="9"/>
  <c r="E201" i="9"/>
  <c r="D76" i="9"/>
  <c r="F10" i="9"/>
  <c r="D75" i="9"/>
  <c r="H197" i="9"/>
  <c r="G197" i="9"/>
  <c r="H195" i="9"/>
  <c r="G195" i="9"/>
  <c r="D52" i="9"/>
  <c r="F51" i="9"/>
  <c r="D36" i="9"/>
  <c r="D34" i="9"/>
  <c r="D30" i="9"/>
  <c r="H36" i="9"/>
  <c r="G36" i="9"/>
  <c r="F52" i="9"/>
  <c r="F11" i="9"/>
  <c r="D14" i="9"/>
  <c r="D12" i="9"/>
  <c r="H14" i="9"/>
  <c r="D8" i="9"/>
  <c r="G14" i="9"/>
  <c r="F12" i="9"/>
  <c r="D72" i="9"/>
  <c r="F159" i="9"/>
  <c r="F162" i="9"/>
  <c r="D11" i="9"/>
  <c r="D33" i="9"/>
  <c r="F8" i="9"/>
  <c r="D238" i="9" l="1"/>
  <c r="C247" i="9"/>
  <c r="M195" i="9"/>
  <c r="O198" i="9"/>
  <c r="F197" i="9"/>
  <c r="O195" i="9"/>
  <c r="M199" i="9"/>
  <c r="M197" i="9"/>
  <c r="M198" i="9"/>
  <c r="M201" i="9"/>
  <c r="M196" i="9"/>
  <c r="O201" i="9"/>
  <c r="O197" i="9"/>
  <c r="O196" i="9"/>
  <c r="O199" i="9"/>
  <c r="F199" i="9"/>
  <c r="F195" i="9"/>
  <c r="F198" i="9"/>
  <c r="D195" i="9"/>
  <c r="D197" i="9"/>
  <c r="Q201" i="9"/>
  <c r="P201" i="9"/>
  <c r="D201" i="9"/>
  <c r="H201" i="9"/>
  <c r="G201" i="9"/>
  <c r="D196" i="9"/>
  <c r="D199" i="9"/>
  <c r="F201" i="9"/>
  <c r="F196" i="9"/>
  <c r="D198" i="9"/>
  <c r="D247" i="9" l="1"/>
  <c r="C248" i="9"/>
  <c r="G72" i="7"/>
  <c r="F72" i="7"/>
  <c r="I72" i="7" l="1"/>
  <c r="F10" i="7"/>
  <c r="G10" i="7"/>
  <c r="I10" i="7" l="1"/>
  <c r="F60" i="7"/>
  <c r="F49" i="7"/>
  <c r="F25" i="7"/>
  <c r="F12" i="7"/>
  <c r="F70" i="7"/>
  <c r="F58" i="7"/>
  <c r="F47" i="7"/>
  <c r="F23" i="7"/>
  <c r="G60" i="7" l="1"/>
  <c r="I60" i="7" s="1"/>
  <c r="G49" i="7"/>
  <c r="I49" i="7" s="1"/>
  <c r="G25" i="7"/>
  <c r="I25" i="7" s="1"/>
  <c r="G12" i="7"/>
  <c r="I12" i="7" s="1"/>
  <c r="G70" i="7"/>
  <c r="I70" i="7" s="1"/>
  <c r="G58" i="7"/>
  <c r="I58" i="7" s="1"/>
  <c r="G47" i="7"/>
  <c r="I47" i="7" s="1"/>
  <c r="G23" i="7"/>
  <c r="I23" i="7" s="1"/>
  <c r="G67" i="7"/>
  <c r="G73" i="7" s="1"/>
  <c r="G55" i="7"/>
  <c r="G44" i="7"/>
  <c r="G33" i="7"/>
  <c r="G20" i="7"/>
  <c r="G7" i="7"/>
  <c r="G11" i="7" s="1"/>
  <c r="G71" i="7" l="1"/>
  <c r="G61" i="7"/>
  <c r="G59" i="7"/>
  <c r="G50" i="7"/>
  <c r="G48" i="7"/>
  <c r="G26" i="7"/>
  <c r="G24" i="7"/>
  <c r="G13" i="7"/>
  <c r="F15" i="15"/>
  <c r="D15" i="15"/>
  <c r="C15" i="15"/>
  <c r="H13" i="15"/>
  <c r="F13" i="15"/>
  <c r="C13" i="15"/>
  <c r="E9" i="15"/>
  <c r="G9" i="15"/>
  <c r="F9" i="15"/>
  <c r="D13" i="15"/>
  <c r="F67" i="7"/>
  <c r="I67" i="7" s="1"/>
  <c r="I73" i="7" s="1"/>
  <c r="F55" i="7"/>
  <c r="I55" i="7" s="1"/>
  <c r="I59" i="7" s="1"/>
  <c r="F20" i="7"/>
  <c r="I20" i="7" s="1"/>
  <c r="I26" i="7" s="1"/>
  <c r="F7" i="7"/>
  <c r="I7" i="7" s="1"/>
  <c r="I61" i="7" l="1"/>
  <c r="I71" i="7"/>
  <c r="I24" i="7"/>
  <c r="F73" i="7"/>
  <c r="F71" i="7"/>
  <c r="F26" i="7"/>
  <c r="F24" i="7"/>
  <c r="F11" i="7"/>
  <c r="F13" i="7"/>
  <c r="F59" i="7"/>
  <c r="F61" i="7"/>
  <c r="F9" i="14"/>
  <c r="F44" i="7"/>
  <c r="I44" i="7" s="1"/>
  <c r="F15" i="14"/>
  <c r="F13" i="14"/>
  <c r="E9" i="14"/>
  <c r="F33" i="7"/>
  <c r="I33" i="7" s="1"/>
  <c r="F10" i="15"/>
  <c r="G45" i="7"/>
  <c r="E10" i="15"/>
  <c r="G34" i="7"/>
  <c r="G10" i="15"/>
  <c r="G56" i="7"/>
  <c r="G57" i="7" s="1"/>
  <c r="H15" i="15"/>
  <c r="D9" i="14"/>
  <c r="D13" i="14"/>
  <c r="D15" i="14"/>
  <c r="G9" i="14"/>
  <c r="G13" i="14"/>
  <c r="G15" i="14"/>
  <c r="H15" i="14"/>
  <c r="H13" i="14"/>
  <c r="C9" i="14"/>
  <c r="C13" i="14"/>
  <c r="C15" i="14"/>
  <c r="H9" i="14"/>
  <c r="G13" i="15"/>
  <c r="C9" i="15"/>
  <c r="G15" i="15"/>
  <c r="D9" i="15"/>
  <c r="H9" i="15"/>
  <c r="G19" i="13"/>
  <c r="G24" i="13" s="1"/>
  <c r="G18" i="13"/>
  <c r="G23" i="13" s="1"/>
  <c r="L25" i="6"/>
  <c r="N25" i="6"/>
  <c r="M25" i="6"/>
  <c r="J25" i="6"/>
  <c r="F23" i="13"/>
  <c r="E23" i="13"/>
  <c r="D23" i="13"/>
  <c r="C23" i="13"/>
  <c r="F24" i="13"/>
  <c r="E24" i="13"/>
  <c r="D24" i="13"/>
  <c r="C24" i="13"/>
  <c r="I48" i="7" l="1"/>
  <c r="I50" i="7"/>
  <c r="G68" i="7"/>
  <c r="G69" i="7" s="1"/>
  <c r="D10" i="14"/>
  <c r="F21" i="7"/>
  <c r="H10" i="14"/>
  <c r="F68" i="7"/>
  <c r="G10" i="14"/>
  <c r="F56" i="7"/>
  <c r="G46" i="7"/>
  <c r="C10" i="14"/>
  <c r="F8" i="7"/>
  <c r="G35" i="7"/>
  <c r="F48" i="7"/>
  <c r="F50" i="7"/>
  <c r="F10" i="14"/>
  <c r="F45" i="7"/>
  <c r="D10" i="15"/>
  <c r="G21" i="7"/>
  <c r="C10" i="15"/>
  <c r="G8" i="7"/>
  <c r="E10" i="14"/>
  <c r="F34" i="7"/>
  <c r="H10" i="15"/>
  <c r="G20" i="13"/>
  <c r="F69" i="7" l="1"/>
  <c r="I68" i="7"/>
  <c r="I69" i="7" s="1"/>
  <c r="F22" i="7"/>
  <c r="I21" i="7"/>
  <c r="I22" i="7" s="1"/>
  <c r="F35" i="7"/>
  <c r="I34" i="7"/>
  <c r="I35" i="7" s="1"/>
  <c r="F9" i="7"/>
  <c r="I8" i="7"/>
  <c r="F46" i="7"/>
  <c r="I45" i="7"/>
  <c r="I46" i="7" s="1"/>
  <c r="F57" i="7"/>
  <c r="I56" i="7"/>
  <c r="I57" i="7" s="1"/>
  <c r="G9" i="7"/>
  <c r="G22" i="7"/>
  <c r="E20" i="13"/>
  <c r="D20" i="13"/>
  <c r="F20" i="13" l="1"/>
  <c r="C20" i="13"/>
  <c r="C25" i="13" s="1"/>
  <c r="K25" i="6" l="1"/>
  <c r="H24" i="13"/>
  <c r="H23" i="13"/>
  <c r="H20" i="13"/>
  <c r="E72" i="12" l="1"/>
  <c r="F72" i="12"/>
  <c r="F61" i="12" l="1"/>
  <c r="F50" i="12"/>
  <c r="F5" i="12"/>
  <c r="F21" i="12" s="1"/>
  <c r="F30" i="12" s="1"/>
  <c r="F34" i="12" s="1"/>
  <c r="E61" i="12"/>
  <c r="E50" i="12"/>
  <c r="E5" i="12"/>
  <c r="E21" i="12" l="1"/>
  <c r="E30" i="12" s="1"/>
  <c r="E34" i="12" s="1"/>
  <c r="E63" i="12" s="1"/>
  <c r="E67" i="12" s="1"/>
  <c r="F63" i="12"/>
  <c r="F67" i="12" s="1"/>
  <c r="D72" i="12" l="1"/>
  <c r="H72" i="12"/>
  <c r="G72" i="12"/>
  <c r="C5" i="12"/>
  <c r="C21" i="12" s="1"/>
  <c r="C30" i="12" s="1"/>
  <c r="C34" i="12" s="1"/>
  <c r="D5" i="12"/>
  <c r="D21" i="12" s="1"/>
  <c r="D30" i="12" s="1"/>
  <c r="D34" i="12" s="1"/>
  <c r="G5" i="12"/>
  <c r="G21" i="12" s="1"/>
  <c r="G30" i="12" s="1"/>
  <c r="G34" i="12" s="1"/>
  <c r="H50" i="12"/>
  <c r="G50" i="12"/>
  <c r="H61" i="12"/>
  <c r="G61" i="12"/>
  <c r="C50" i="12"/>
  <c r="D50" i="12"/>
  <c r="D61" i="12"/>
  <c r="C61" i="12"/>
  <c r="H5" i="12"/>
  <c r="H21" i="12" s="1"/>
  <c r="H30" i="12" s="1"/>
  <c r="H34" i="12" s="1"/>
  <c r="H63" i="12" l="1"/>
  <c r="H67" i="12" s="1"/>
  <c r="G63" i="12"/>
  <c r="G67" i="12" s="1"/>
  <c r="D63" i="12"/>
  <c r="D67" i="12" s="1"/>
  <c r="C63" i="12"/>
  <c r="C67" i="12" s="1"/>
  <c r="G38" i="11"/>
  <c r="G42" i="11"/>
  <c r="G34" i="11"/>
  <c r="E41" i="11"/>
  <c r="E42" i="11"/>
  <c r="K42" i="11" s="1"/>
  <c r="L42" i="11" s="1"/>
  <c r="E38" i="11"/>
  <c r="K38" i="11" s="1"/>
  <c r="L38" i="11" s="1"/>
  <c r="E34" i="11"/>
  <c r="K41" i="11" l="1"/>
  <c r="L41" i="11" s="1"/>
  <c r="E8" i="22"/>
  <c r="K34" i="11"/>
  <c r="L34" i="11" s="1"/>
  <c r="E7" i="22"/>
  <c r="E10" i="11"/>
  <c r="E73" i="12"/>
  <c r="G41" i="11"/>
  <c r="G10" i="11"/>
  <c r="G16" i="11" s="1"/>
  <c r="F12" i="11"/>
  <c r="E4" i="22" l="1"/>
  <c r="E16" i="11"/>
  <c r="K10" i="11"/>
  <c r="L10" i="11" s="1"/>
  <c r="G21" i="11"/>
  <c r="G23" i="11" s="1"/>
  <c r="G28" i="11" s="1"/>
  <c r="H42" i="11"/>
  <c r="H41" i="11"/>
  <c r="G8" i="22" s="1"/>
  <c r="G71" i="12"/>
  <c r="G73" i="12" s="1"/>
  <c r="C42" i="11"/>
  <c r="F27" i="11"/>
  <c r="C71" i="12"/>
  <c r="C73" i="12" s="1"/>
  <c r="D73" i="12"/>
  <c r="F22" i="11"/>
  <c r="K16" i="11" l="1"/>
  <c r="L16" i="11" s="1"/>
  <c r="E5" i="22"/>
  <c r="E21" i="11"/>
  <c r="E23" i="11" s="1"/>
  <c r="F9" i="11"/>
  <c r="F8" i="11"/>
  <c r="F73" i="12" s="1"/>
  <c r="F20" i="11"/>
  <c r="F15" i="11"/>
  <c r="F13" i="11"/>
  <c r="F37" i="11"/>
  <c r="F19" i="11"/>
  <c r="F11" i="11"/>
  <c r="F26" i="11"/>
  <c r="F14" i="11"/>
  <c r="D41" i="11"/>
  <c r="D8" i="22" s="1"/>
  <c r="F32" i="11"/>
  <c r="D42" i="11"/>
  <c r="F33" i="11"/>
  <c r="F42" i="11" s="1"/>
  <c r="D38" i="11"/>
  <c r="F36" i="11"/>
  <c r="H10" i="11"/>
  <c r="G4" i="22" s="1"/>
  <c r="H38" i="11"/>
  <c r="C34" i="11"/>
  <c r="H34" i="11"/>
  <c r="D10" i="11"/>
  <c r="C10" i="11"/>
  <c r="C38" i="11"/>
  <c r="D34" i="11"/>
  <c r="D7" i="22" s="1"/>
  <c r="C41" i="11"/>
  <c r="C8" i="22" s="1"/>
  <c r="G7" i="22" l="1"/>
  <c r="C7" i="22"/>
  <c r="D16" i="11"/>
  <c r="D4" i="22"/>
  <c r="C16" i="11"/>
  <c r="C5" i="22" s="1"/>
  <c r="C4" i="22"/>
  <c r="K21" i="11"/>
  <c r="L21" i="11" s="1"/>
  <c r="H16" i="11"/>
  <c r="G5" i="22" s="1"/>
  <c r="E28" i="11"/>
  <c r="K28" i="11" s="1"/>
  <c r="L28" i="11" s="1"/>
  <c r="K23" i="11"/>
  <c r="L23" i="11" s="1"/>
  <c r="F10" i="11"/>
  <c r="F38" i="11"/>
  <c r="F34" i="11"/>
  <c r="F7" i="22" s="1"/>
  <c r="F41" i="11"/>
  <c r="F8" i="22" s="1"/>
  <c r="C21" i="11" l="1"/>
  <c r="C23" i="11" s="1"/>
  <c r="F16" i="11"/>
  <c r="F4" i="22"/>
  <c r="D21" i="11"/>
  <c r="D23" i="11" s="1"/>
  <c r="D5" i="22"/>
  <c r="H21" i="11"/>
  <c r="F21" i="11" l="1"/>
  <c r="F23" i="11" s="1"/>
  <c r="F28" i="11" s="1"/>
  <c r="F5" i="22"/>
  <c r="H23" i="11"/>
  <c r="C28" i="11"/>
  <c r="D28" i="11"/>
  <c r="H28" i="11" l="1"/>
  <c r="I41" i="11"/>
  <c r="M41" i="11" l="1"/>
  <c r="N41" i="11" s="1"/>
  <c r="H8" i="22"/>
  <c r="I42" i="11"/>
  <c r="M42" i="11" s="1"/>
  <c r="N42" i="11" s="1"/>
  <c r="H73" i="12"/>
  <c r="I34" i="11"/>
  <c r="M34" i="11" l="1"/>
  <c r="N34" i="11" s="1"/>
  <c r="H7" i="22"/>
  <c r="I10" i="11"/>
  <c r="I38" i="11"/>
  <c r="M38" i="11" s="1"/>
  <c r="N38" i="11" s="1"/>
  <c r="M10" i="11" l="1"/>
  <c r="N10" i="11" s="1"/>
  <c r="H4" i="22"/>
  <c r="I16" i="11"/>
  <c r="M16" i="11" l="1"/>
  <c r="N16" i="11" s="1"/>
  <c r="H5" i="22"/>
  <c r="I21" i="11"/>
  <c r="M21" i="11" s="1"/>
  <c r="N21" i="11" s="1"/>
  <c r="I23" i="11" l="1"/>
  <c r="M23" i="11" s="1"/>
  <c r="N23" i="11" s="1"/>
  <c r="I28" i="11" l="1"/>
  <c r="M28" i="11" s="1"/>
  <c r="N28" i="11" s="1"/>
  <c r="G27" i="6" l="1"/>
  <c r="G26" i="6"/>
  <c r="F25" i="6"/>
  <c r="E25" i="6"/>
  <c r="D25" i="6"/>
  <c r="C25" i="6"/>
  <c r="G22" i="6"/>
  <c r="G21" i="6"/>
  <c r="F20" i="6"/>
  <c r="E20" i="6"/>
  <c r="D20" i="6"/>
  <c r="C20" i="6"/>
  <c r="G17" i="6"/>
  <c r="G16" i="6"/>
  <c r="F15" i="6"/>
  <c r="E15" i="6"/>
  <c r="D15" i="6"/>
  <c r="C15" i="6"/>
  <c r="G12" i="6"/>
  <c r="G11" i="6"/>
  <c r="F10" i="6"/>
  <c r="E10" i="6"/>
  <c r="D10" i="6"/>
  <c r="C10" i="6"/>
  <c r="G7" i="6"/>
  <c r="G6" i="6"/>
  <c r="F5" i="6"/>
  <c r="E5" i="6"/>
  <c r="D5" i="6"/>
  <c r="C5" i="6"/>
  <c r="G20" i="6" l="1"/>
  <c r="G10" i="6"/>
  <c r="G25" i="6"/>
  <c r="G5" i="6"/>
  <c r="G15" i="6"/>
  <c r="F25" i="13" l="1"/>
  <c r="C44" i="7"/>
  <c r="F26" i="13"/>
  <c r="F9" i="13" l="1"/>
  <c r="Q9" i="13" s="1"/>
  <c r="F10" i="13" l="1"/>
  <c r="Q10" i="13" s="1"/>
  <c r="C45" i="7"/>
  <c r="C46" i="7" l="1"/>
  <c r="C47" i="7"/>
  <c r="C48" i="7" l="1"/>
  <c r="C49" i="7"/>
  <c r="C50" i="7" l="1"/>
  <c r="C12" i="7" l="1"/>
  <c r="G25" i="13" l="1"/>
  <c r="C55" i="7"/>
  <c r="C7" i="7"/>
  <c r="I13" i="7" l="1"/>
  <c r="C13" i="7"/>
  <c r="C26" i="13"/>
  <c r="C9" i="13" l="1"/>
  <c r="N9" i="13" s="1"/>
  <c r="C10" i="13" l="1"/>
  <c r="N10" i="13" s="1"/>
  <c r="C8" i="7"/>
  <c r="C10" i="7"/>
  <c r="C11" i="7" l="1"/>
  <c r="I11" i="7"/>
  <c r="C9" i="7"/>
  <c r="I9" i="7"/>
  <c r="G26" i="13"/>
  <c r="C58" i="7" l="1"/>
  <c r="G9" i="13"/>
  <c r="R9" i="13" s="1"/>
  <c r="C59" i="7" l="1"/>
  <c r="G10" i="13"/>
  <c r="R10" i="13" s="1"/>
  <c r="C56" i="7"/>
  <c r="C60" i="7"/>
  <c r="D26" i="13"/>
  <c r="C61" i="7" l="1"/>
  <c r="C57" i="7"/>
  <c r="D25" i="13"/>
  <c r="C20" i="7"/>
  <c r="D9" i="13"/>
  <c r="O9" i="13" s="1"/>
  <c r="C25" i="7" l="1"/>
  <c r="D10" i="13"/>
  <c r="O10" i="13" s="1"/>
  <c r="C21" i="7"/>
  <c r="C22" i="7" l="1"/>
  <c r="C26" i="7"/>
  <c r="C23" i="7"/>
  <c r="H25" i="13" l="1"/>
  <c r="C67" i="7"/>
  <c r="C24" i="7"/>
  <c r="H26" i="13"/>
  <c r="C71" i="7" l="1"/>
  <c r="C73" i="7"/>
  <c r="H9" i="13"/>
  <c r="S9" i="13" s="1"/>
  <c r="C68" i="7" l="1"/>
  <c r="H10" i="13"/>
  <c r="S10" i="13" s="1"/>
  <c r="C69" i="7" l="1"/>
  <c r="F80" i="9" l="1"/>
  <c r="F143" i="9"/>
  <c r="F122" i="9"/>
  <c r="H59" i="9"/>
  <c r="C17" i="9"/>
  <c r="F59" i="9"/>
  <c r="F164" i="9"/>
  <c r="F16" i="9" l="1"/>
  <c r="H122" i="9"/>
  <c r="G122" i="9"/>
  <c r="D122" i="9"/>
  <c r="O16" i="9"/>
  <c r="H16" i="9"/>
  <c r="G16" i="9"/>
  <c r="D16" i="9"/>
  <c r="H80" i="9"/>
  <c r="G80" i="9"/>
  <c r="D80" i="9"/>
  <c r="G59" i="9"/>
  <c r="D59" i="9"/>
  <c r="D38" i="9"/>
  <c r="H143" i="9"/>
  <c r="D143" i="9"/>
  <c r="G143" i="9"/>
  <c r="H164" i="9"/>
  <c r="G164" i="9"/>
  <c r="D164" i="9"/>
  <c r="E186" i="9"/>
  <c r="F38" i="9"/>
  <c r="N186" i="9"/>
  <c r="O101" i="9"/>
  <c r="O59" i="9"/>
  <c r="O143" i="9"/>
  <c r="F101" i="9"/>
  <c r="O122" i="9"/>
  <c r="O80" i="9"/>
  <c r="O38" i="9"/>
  <c r="O164" i="9"/>
  <c r="C203" i="9" l="1"/>
  <c r="Q59" i="9"/>
  <c r="P59" i="9"/>
  <c r="M59" i="9"/>
  <c r="G185" i="9"/>
  <c r="C186" i="9"/>
  <c r="H185" i="9"/>
  <c r="G38" i="9"/>
  <c r="N203" i="9"/>
  <c r="P38" i="9"/>
  <c r="Q38" i="9"/>
  <c r="M38" i="9"/>
  <c r="E203" i="9"/>
  <c r="P80" i="9"/>
  <c r="Q80" i="9"/>
  <c r="M80" i="9"/>
  <c r="H101" i="9"/>
  <c r="D101" i="9"/>
  <c r="G101" i="9"/>
  <c r="H38" i="9"/>
  <c r="Q164" i="9"/>
  <c r="P164" i="9"/>
  <c r="M164" i="9"/>
  <c r="L186" i="9"/>
  <c r="Q185" i="9"/>
  <c r="P185" i="9"/>
  <c r="P101" i="9"/>
  <c r="Q101" i="9"/>
  <c r="M101" i="9"/>
  <c r="Q143" i="9"/>
  <c r="P143" i="9"/>
  <c r="M143" i="9"/>
  <c r="L203" i="9"/>
  <c r="Q16" i="9"/>
  <c r="P16" i="9"/>
  <c r="M16" i="9"/>
  <c r="Q122" i="9"/>
  <c r="P122" i="9"/>
  <c r="M122" i="9"/>
  <c r="G203" i="9" l="1"/>
  <c r="H203" i="9"/>
  <c r="P203" i="9"/>
  <c r="Q203" i="9"/>
  <c r="T7" i="15" l="1"/>
  <c r="U7" i="15" s="1"/>
  <c r="J7" i="15" l="1"/>
  <c r="K7" i="15" s="1"/>
  <c r="G79" i="7"/>
  <c r="L7" i="15"/>
  <c r="M7" i="15" s="1"/>
  <c r="F79" i="7"/>
  <c r="J7" i="14"/>
  <c r="K7" i="14" s="1"/>
  <c r="L7" i="14"/>
  <c r="M7" i="14" s="1"/>
  <c r="I79" i="7" l="1"/>
  <c r="S11" i="15"/>
  <c r="T8" i="15" l="1"/>
  <c r="U8" i="15" s="1"/>
  <c r="S9" i="15" l="1"/>
  <c r="T9" i="15" s="1"/>
  <c r="U9" i="15" s="1"/>
  <c r="I25" i="13"/>
  <c r="C79" i="7"/>
  <c r="I18" i="24"/>
  <c r="J8" i="14"/>
  <c r="K8" i="14" s="1"/>
  <c r="L8" i="14"/>
  <c r="M8" i="14" s="1"/>
  <c r="I9" i="14"/>
  <c r="J8" i="15"/>
  <c r="K8" i="15" s="1"/>
  <c r="L8" i="15"/>
  <c r="M8" i="15" s="1"/>
  <c r="I9" i="15"/>
  <c r="H81" i="7"/>
  <c r="S10" i="15" l="1"/>
  <c r="I10" i="14"/>
  <c r="F80" i="7"/>
  <c r="F81" i="7" s="1"/>
  <c r="J9" i="14"/>
  <c r="K9" i="14" s="1"/>
  <c r="L9" i="14"/>
  <c r="M9" i="14" s="1"/>
  <c r="G80" i="7"/>
  <c r="G81" i="7" s="1"/>
  <c r="I10" i="15"/>
  <c r="J9" i="15"/>
  <c r="K9" i="15" s="1"/>
  <c r="L9" i="15"/>
  <c r="M9" i="15" s="1"/>
  <c r="H83" i="7"/>
  <c r="H85" i="7" l="1"/>
  <c r="I13" i="14" l="1"/>
  <c r="F82" i="7"/>
  <c r="F83" i="7" l="1"/>
  <c r="I15" i="14"/>
  <c r="F84" i="7"/>
  <c r="F85" i="7" l="1"/>
  <c r="I26" i="13" l="1"/>
  <c r="I9" i="13"/>
  <c r="I19" i="24"/>
  <c r="I9" i="24"/>
  <c r="S13" i="15" l="1"/>
  <c r="D80" i="7"/>
  <c r="I20" i="24"/>
  <c r="T9" i="13"/>
  <c r="D81" i="7"/>
  <c r="I80" i="7"/>
  <c r="I81" i="7" s="1"/>
  <c r="I10" i="24"/>
  <c r="G82" i="7"/>
  <c r="I13" i="15"/>
  <c r="C80" i="7"/>
  <c r="I10" i="13"/>
  <c r="S15" i="15" l="1"/>
  <c r="T10" i="13"/>
  <c r="G83" i="7"/>
  <c r="I82" i="7"/>
  <c r="I83" i="7" s="1"/>
  <c r="C82" i="7"/>
  <c r="C81" i="7"/>
  <c r="G84" i="7"/>
  <c r="I15" i="15"/>
  <c r="G85" i="7" l="1"/>
  <c r="I84" i="7"/>
  <c r="I85" i="7" s="1"/>
  <c r="C83" i="7"/>
  <c r="C84" i="7" l="1"/>
  <c r="C85" i="7" l="1"/>
  <c r="L11" i="14" l="1"/>
  <c r="M11" i="14" s="1"/>
  <c r="J11" i="14"/>
  <c r="K11" i="14" s="1"/>
  <c r="R11" i="15"/>
  <c r="T11" i="15" s="1"/>
  <c r="U11" i="15" s="1"/>
  <c r="L11" i="15" l="1"/>
  <c r="M11" i="15" s="1"/>
  <c r="J11" i="15"/>
  <c r="K11" i="15" s="1"/>
  <c r="E19" i="24" l="1"/>
  <c r="L8" i="24"/>
  <c r="M8" i="24" s="1"/>
  <c r="J8" i="24"/>
  <c r="K8" i="24" s="1"/>
  <c r="E26" i="13"/>
  <c r="L8" i="13"/>
  <c r="J8" i="13"/>
  <c r="U8" i="13" l="1"/>
  <c r="W8" i="13"/>
  <c r="R13" i="15"/>
  <c r="T12" i="15"/>
  <c r="U12" i="15" s="1"/>
  <c r="K8" i="13"/>
  <c r="V8" i="13" s="1"/>
  <c r="M8" i="13"/>
  <c r="X8" i="13" s="1"/>
  <c r="G36" i="7"/>
  <c r="G37" i="7" s="1"/>
  <c r="E13" i="15"/>
  <c r="J12" i="15"/>
  <c r="K12" i="15" s="1"/>
  <c r="L12" i="15"/>
  <c r="M12" i="15" s="1"/>
  <c r="R15" i="15" l="1"/>
  <c r="T14" i="15"/>
  <c r="U14" i="15" s="1"/>
  <c r="G38" i="7"/>
  <c r="G39" i="7" s="1"/>
  <c r="E15" i="15"/>
  <c r="L14" i="15"/>
  <c r="M14" i="15" s="1"/>
  <c r="J14" i="15"/>
  <c r="K14" i="15" s="1"/>
  <c r="F36" i="7" l="1"/>
  <c r="E13" i="14"/>
  <c r="L12" i="14"/>
  <c r="M12" i="14" s="1"/>
  <c r="J12" i="14"/>
  <c r="K12" i="14" s="1"/>
  <c r="F37" i="7" l="1"/>
  <c r="I36" i="7"/>
  <c r="I37" i="7" s="1"/>
  <c r="F38" i="7"/>
  <c r="E15" i="14"/>
  <c r="J14" i="14"/>
  <c r="K14" i="14" s="1"/>
  <c r="L14" i="14"/>
  <c r="M14" i="14" s="1"/>
  <c r="F39" i="7" l="1"/>
  <c r="I38" i="7"/>
  <c r="I39" i="7" s="1"/>
  <c r="E9" i="13" l="1"/>
  <c r="P9" i="13" s="1"/>
  <c r="E25" i="13"/>
  <c r="C33" i="7"/>
  <c r="J7" i="13"/>
  <c r="L7" i="13"/>
  <c r="E18" i="24"/>
  <c r="J7" i="24"/>
  <c r="K7" i="24" s="1"/>
  <c r="L7" i="24"/>
  <c r="M7" i="24" s="1"/>
  <c r="W7" i="13" l="1"/>
  <c r="U7" i="13"/>
  <c r="K7" i="13"/>
  <c r="V7" i="13" s="1"/>
  <c r="M7" i="13"/>
  <c r="X7" i="13" s="1"/>
  <c r="L9" i="24"/>
  <c r="M9" i="24" s="1"/>
  <c r="J9" i="24"/>
  <c r="K9" i="24" s="1"/>
  <c r="E10" i="13"/>
  <c r="P10" i="13" s="1"/>
  <c r="C34" i="7"/>
  <c r="L9" i="13"/>
  <c r="J9" i="13"/>
  <c r="W9" i="13" l="1"/>
  <c r="U9" i="13"/>
  <c r="M9" i="13"/>
  <c r="X9" i="13" s="1"/>
  <c r="K9" i="13"/>
  <c r="V9" i="13" s="1"/>
  <c r="C35" i="7"/>
  <c r="C36" i="7"/>
  <c r="C37" i="7" l="1"/>
  <c r="C38" i="7" l="1"/>
  <c r="C39" i="7" l="1"/>
</calcChain>
</file>

<file path=xl/sharedStrings.xml><?xml version="1.0" encoding="utf-8"?>
<sst xmlns="http://schemas.openxmlformats.org/spreadsheetml/2006/main" count="1091" uniqueCount="323">
  <si>
    <t>Choose Currency:</t>
  </si>
  <si>
    <t xml:space="preserve"> IR Data Book 2022</t>
  </si>
  <si>
    <t>Investor Relations Contacts</t>
  </si>
  <si>
    <t>Nicolas Sibuet</t>
  </si>
  <si>
    <t>Chief Financial Officer</t>
  </si>
  <si>
    <t>InvestorRelations@aramex.com</t>
  </si>
  <si>
    <t>Anca Cighi</t>
  </si>
  <si>
    <t>Investor Relations Officer</t>
  </si>
  <si>
    <t>anca@aramex.com</t>
  </si>
  <si>
    <t>Aramex Data Book Contents</t>
  </si>
  <si>
    <t>Income Statement</t>
  </si>
  <si>
    <t>Balance Sheet</t>
  </si>
  <si>
    <t xml:space="preserve">Cashflow and Capex </t>
  </si>
  <si>
    <t xml:space="preserve">Aramex Courier Product </t>
  </si>
  <si>
    <t>Aramex Freight Product</t>
  </si>
  <si>
    <t>Aramex Logistics Product</t>
  </si>
  <si>
    <t>Regional Breakdown</t>
  </si>
  <si>
    <t xml:space="preserve">GP Reclassification 2020 </t>
  </si>
  <si>
    <t>Historic Product Breakdown Key Financials</t>
  </si>
  <si>
    <t xml:space="preserve">Historic Express Volume Data </t>
  </si>
  <si>
    <t xml:space="preserve">Income statement </t>
  </si>
  <si>
    <t>2022 Vs 2021</t>
  </si>
  <si>
    <t>Growth</t>
  </si>
  <si>
    <t>Q1 2021</t>
  </si>
  <si>
    <t>Q2 2021</t>
  </si>
  <si>
    <t>Q3 2021</t>
  </si>
  <si>
    <t>Q4 2021</t>
  </si>
  <si>
    <t>2021</t>
  </si>
  <si>
    <t>Q1 2022</t>
  </si>
  <si>
    <t>Q2 2022</t>
  </si>
  <si>
    <t>%</t>
  </si>
  <si>
    <t xml:space="preserve">Continuing operations </t>
  </si>
  <si>
    <t xml:space="preserve"> Rendering of services </t>
  </si>
  <si>
    <t xml:space="preserve"> Cost of services </t>
  </si>
  <si>
    <t>Gross Profit</t>
  </si>
  <si>
    <t xml:space="preserve"> Selling and marketing expenses</t>
  </si>
  <si>
    <t xml:space="preserve"> Net impairment loss on accounts receivable </t>
  </si>
  <si>
    <t xml:space="preserve"> Administrative expenses </t>
  </si>
  <si>
    <t xml:space="preserve"> Net Gain/(loss) on property damages and customer goods </t>
  </si>
  <si>
    <t xml:space="preserve"> Other income/-net</t>
  </si>
  <si>
    <t xml:space="preserve">Operating profit </t>
  </si>
  <si>
    <t xml:space="preserve"> Finance income</t>
  </si>
  <si>
    <t xml:space="preserve"> Finance expense</t>
  </si>
  <si>
    <t xml:space="preserve"> Share of results of joint ventures and associates </t>
  </si>
  <si>
    <t>Profit before tax from continuing operations</t>
  </si>
  <si>
    <t xml:space="preserve"> Income Tax</t>
  </si>
  <si>
    <t>Profit for the year from Continuing Operations</t>
  </si>
  <si>
    <t>Discontinued Operations</t>
  </si>
  <si>
    <t xml:space="preserve"> Profit after tax for the year from discontinued operations</t>
  </si>
  <si>
    <t xml:space="preserve"> Gain on sale of subsidiary </t>
  </si>
  <si>
    <t>Profit for the period</t>
  </si>
  <si>
    <t>Attributable to:</t>
  </si>
  <si>
    <t xml:space="preserve"> Equity holders of the parent </t>
  </si>
  <si>
    <t xml:space="preserve"> Profit for the year from continuing operations</t>
  </si>
  <si>
    <t xml:space="preserve"> Profit for the year  from discontinuing operations</t>
  </si>
  <si>
    <t xml:space="preserve">Non -controlling interest </t>
  </si>
  <si>
    <t xml:space="preserve"> Profit of the year from continuing operations</t>
  </si>
  <si>
    <t xml:space="preserve"> Profit of the year from discontinuing operations</t>
  </si>
  <si>
    <t>Earnings per share attributable to the equity holders of the parent:</t>
  </si>
  <si>
    <t xml:space="preserve"> Basic and diluted earnings per share from continuing operation </t>
  </si>
  <si>
    <t xml:space="preserve"> Basic and diluted earnings per share from discontinuing operation </t>
  </si>
  <si>
    <t>Dividends</t>
  </si>
  <si>
    <t xml:space="preserve">Dividends % of capital </t>
  </si>
  <si>
    <t xml:space="preserve">Dividends payout ratio </t>
  </si>
  <si>
    <t>Dividend per share (AED)</t>
  </si>
  <si>
    <t xml:space="preserve">Balance sheet </t>
  </si>
  <si>
    <t>Assets</t>
  </si>
  <si>
    <t>Q1'21</t>
  </si>
  <si>
    <t>Q2'21</t>
  </si>
  <si>
    <t>Q3'21</t>
  </si>
  <si>
    <t>Q4'21</t>
  </si>
  <si>
    <t>Q1'22</t>
  </si>
  <si>
    <t>Q2'22</t>
  </si>
  <si>
    <t xml:space="preserve"> Non-current assets </t>
  </si>
  <si>
    <t xml:space="preserve">  Property and equipment </t>
  </si>
  <si>
    <t xml:space="preserve">  Right of use assets </t>
  </si>
  <si>
    <t xml:space="preserve">  Goodwill </t>
  </si>
  <si>
    <t xml:space="preserve">  Other intangible assets </t>
  </si>
  <si>
    <t xml:space="preserve">  Investment in joint ventures and associates </t>
  </si>
  <si>
    <t xml:space="preserve">  Financial assets at fair value through  other comprehensive income </t>
  </si>
  <si>
    <t xml:space="preserve">  Deferred tax assets </t>
  </si>
  <si>
    <t xml:space="preserve">  Other non- current assets </t>
  </si>
  <si>
    <t xml:space="preserve"> Current assets </t>
  </si>
  <si>
    <t xml:space="preserve">  Account receivable , net </t>
  </si>
  <si>
    <t xml:space="preserve">  Other current assets </t>
  </si>
  <si>
    <t xml:space="preserve">  Restricted cash , margins and fixed deposits </t>
  </si>
  <si>
    <t xml:space="preserve">  Cash and cash equivalents </t>
  </si>
  <si>
    <t xml:space="preserve">Asset held for sale </t>
  </si>
  <si>
    <t xml:space="preserve">Total Assets </t>
  </si>
  <si>
    <t xml:space="preserve">Equity and liabilities </t>
  </si>
  <si>
    <t xml:space="preserve"> Share capital </t>
  </si>
  <si>
    <t xml:space="preserve"> Statutory reserve </t>
  </si>
  <si>
    <t xml:space="preserve"> Foreign currency translation reserve </t>
  </si>
  <si>
    <t xml:space="preserve"> Reserve arising from acquisition of non -controlling interest </t>
  </si>
  <si>
    <t xml:space="preserve"> Reserve arising from other comprehensive income items </t>
  </si>
  <si>
    <t xml:space="preserve"> Retained earnings </t>
  </si>
  <si>
    <t xml:space="preserve">Equity attributable to equity holders of the parent </t>
  </si>
  <si>
    <t xml:space="preserve"> Non-controlling interests </t>
  </si>
  <si>
    <t xml:space="preserve">Total Equity </t>
  </si>
  <si>
    <t xml:space="preserve">Liabilities </t>
  </si>
  <si>
    <t xml:space="preserve"> Non- current liabilities </t>
  </si>
  <si>
    <t xml:space="preserve">  Interset - bearing loans and borrowings </t>
  </si>
  <si>
    <t xml:space="preserve">  Lease liabilities </t>
  </si>
  <si>
    <t xml:space="preserve">  Employee's end of service benefits </t>
  </si>
  <si>
    <t xml:space="preserve">  Deferred tax liabitlities </t>
  </si>
  <si>
    <t xml:space="preserve">  Deferred income </t>
  </si>
  <si>
    <t xml:space="preserve">Current liabilities </t>
  </si>
  <si>
    <t xml:space="preserve">  Account payable </t>
  </si>
  <si>
    <t xml:space="preserve">  Bank overdrafts </t>
  </si>
  <si>
    <t xml:space="preserve">  Interest bearing loans and borrowings </t>
  </si>
  <si>
    <t xml:space="preserve">  Income Tax provsion </t>
  </si>
  <si>
    <t xml:space="preserve">  Other current liabilities </t>
  </si>
  <si>
    <t xml:space="preserve">Laibilities for sale </t>
  </si>
  <si>
    <t xml:space="preserve">Total liabilities </t>
  </si>
  <si>
    <t xml:space="preserve">Total Equity and liabilities </t>
  </si>
  <si>
    <t>Net Debt / EBITDA</t>
  </si>
  <si>
    <t>Net Debt / EBITDA excl IFRRS 16 ROU</t>
  </si>
  <si>
    <t>OPERATING ACTIVITIES</t>
  </si>
  <si>
    <t>Profit before  tax from continuing operations</t>
  </si>
  <si>
    <t>Profit before  tax from discontinuing operations</t>
  </si>
  <si>
    <t>Profit before tax</t>
  </si>
  <si>
    <t>Adjustment for:</t>
  </si>
  <si>
    <t>Depreciation of property and equipment</t>
  </si>
  <si>
    <t>Depreciation of right of use assets</t>
  </si>
  <si>
    <t>Amortization of other intangible assets</t>
  </si>
  <si>
    <t xml:space="preserve"> Provision for employees’ end of service benefits</t>
  </si>
  <si>
    <t xml:space="preserve"> Net impairment loss on financial assets</t>
  </si>
  <si>
    <t xml:space="preserve"> Finance costs, net</t>
  </si>
  <si>
    <t xml:space="preserve"> Finance costs – lease liability</t>
  </si>
  <si>
    <t xml:space="preserve"> Share of results of joint ventures and associates</t>
  </si>
  <si>
    <t xml:space="preserve"> Impairment of goodwill</t>
  </si>
  <si>
    <t xml:space="preserve"> (Gain)/loss on sale of property and equipment</t>
  </si>
  <si>
    <t xml:space="preserve"> Gain on sale of a subsidiary</t>
  </si>
  <si>
    <t xml:space="preserve"> Gain on reversal of provision for property and customer goods</t>
  </si>
  <si>
    <t>Working capital adjustments:</t>
  </si>
  <si>
    <t xml:space="preserve"> Accounts receivable</t>
  </si>
  <si>
    <t xml:space="preserve"> Accounts payable</t>
  </si>
  <si>
    <t xml:space="preserve"> Other current assets</t>
  </si>
  <si>
    <t xml:space="preserve"> Other current liabilities</t>
  </si>
  <si>
    <t xml:space="preserve"> Deferred income</t>
  </si>
  <si>
    <t>Net cash flows generated from operating activities before employees’ end of service benefits and income tax paid</t>
  </si>
  <si>
    <t>Employees’ end of service benefits paid</t>
  </si>
  <si>
    <t>Income tax paid</t>
  </si>
  <si>
    <t>Net cash flows generated from operating activities</t>
  </si>
  <si>
    <t>INVESTING ACTIVITIES</t>
  </si>
  <si>
    <t>Purchase of property and equipment</t>
  </si>
  <si>
    <t>Proceeds from disposal of property and equipment</t>
  </si>
  <si>
    <t xml:space="preserve">Financial assets at fair value through other comprehensive income </t>
  </si>
  <si>
    <t>Interest received</t>
  </si>
  <si>
    <t xml:space="preserve">Net cash disposed from discontinued operations </t>
  </si>
  <si>
    <t>Proceeds from sale of a subsidiary</t>
  </si>
  <si>
    <t xml:space="preserve">Purchase of intangible assets </t>
  </si>
  <si>
    <t>Dividends from joint ventures</t>
  </si>
  <si>
    <t>Acquisition of a group of assets</t>
  </si>
  <si>
    <t>Other non-current assets</t>
  </si>
  <si>
    <t>Restricted cash*</t>
  </si>
  <si>
    <t xml:space="preserve">Margin deposits and fixed deposits </t>
  </si>
  <si>
    <t>Loan granted to joint venture</t>
  </si>
  <si>
    <t>Net cash flows generated from/(used in) investing activities</t>
  </si>
  <si>
    <t>FINANCING ACTIVITIES</t>
  </si>
  <si>
    <t>Finance cost paid</t>
  </si>
  <si>
    <t>Proceeds from loans and borrowings</t>
  </si>
  <si>
    <t>Repayment of loans and borrowings</t>
  </si>
  <si>
    <t>Principal elements of lease payments</t>
  </si>
  <si>
    <t>Dividends paid to non-controlling interests</t>
  </si>
  <si>
    <t>Directors’ fees paid</t>
  </si>
  <si>
    <t>Dividends paid to shareholders</t>
  </si>
  <si>
    <t>Net cash flows used in financing activities</t>
  </si>
  <si>
    <t>NET (DECREASE)/INCREASE IN CASH AND CASH EQUIVALENTS</t>
  </si>
  <si>
    <t>Net foreign exchange difference</t>
  </si>
  <si>
    <t>Cash and cash equivalents at 1 January</t>
  </si>
  <si>
    <t>CASH AND CASH EQUIVALENTS AT 31 DECEMBER</t>
  </si>
  <si>
    <t>Mar YTD '21</t>
  </si>
  <si>
    <t>Jun YTD'21</t>
  </si>
  <si>
    <t>Sep YTD'21</t>
  </si>
  <si>
    <t>Dec YTD'21</t>
  </si>
  <si>
    <t>Mar YTD'22</t>
  </si>
  <si>
    <t>Jun YTD'22</t>
  </si>
  <si>
    <t>Revenue</t>
  </si>
  <si>
    <t>Capex</t>
  </si>
  <si>
    <t>Capex / Revenue</t>
  </si>
  <si>
    <t xml:space="preserve">Total Direct Cost </t>
  </si>
  <si>
    <t xml:space="preserve">Gross Profit </t>
  </si>
  <si>
    <t>GP%</t>
  </si>
  <si>
    <t>Selling and G&amp;A expenses</t>
  </si>
  <si>
    <t>EBIT</t>
  </si>
  <si>
    <t>EBIT%</t>
  </si>
  <si>
    <t>EBITDA</t>
  </si>
  <si>
    <t>EBITDA%</t>
  </si>
  <si>
    <t>Volumes</t>
  </si>
  <si>
    <t>DOM Express</t>
  </si>
  <si>
    <t>Int'l Express</t>
  </si>
  <si>
    <t>Total Courier Volumes</t>
  </si>
  <si>
    <t>Per shipment</t>
  </si>
  <si>
    <t>DOM revenue per shipment</t>
  </si>
  <si>
    <t>Int'l revenue per shipment</t>
  </si>
  <si>
    <t>Average revenue per shipment Courier</t>
  </si>
  <si>
    <t>Average cost per shipment Courier</t>
  </si>
  <si>
    <t>MENAT</t>
  </si>
  <si>
    <t>Africa (East &amp; South)</t>
  </si>
  <si>
    <t>Europe</t>
  </si>
  <si>
    <t>America</t>
  </si>
  <si>
    <t>Oceania</t>
  </si>
  <si>
    <t>Others</t>
  </si>
  <si>
    <t>L/F # of FTL</t>
  </si>
  <si>
    <t>L/F # of LTL Kgs</t>
  </si>
  <si>
    <t>S/F # of FCL TEU</t>
  </si>
  <si>
    <t>S/F # of LCL CBM</t>
  </si>
  <si>
    <t>A/F # of Kgs</t>
  </si>
  <si>
    <t>All figures are in AED'(000)</t>
  </si>
  <si>
    <t>Actual</t>
  </si>
  <si>
    <t>VAR</t>
  </si>
  <si>
    <t>Express + SnS</t>
  </si>
  <si>
    <t>Domestic</t>
  </si>
  <si>
    <t xml:space="preserve">Freight Forwarding  </t>
  </si>
  <si>
    <t>Logistics</t>
  </si>
  <si>
    <t xml:space="preserve">Other </t>
  </si>
  <si>
    <t>Total Revenue</t>
  </si>
  <si>
    <t>Volumes are in abosulte figures- not rounded</t>
  </si>
  <si>
    <t>DOmestic</t>
  </si>
  <si>
    <t>Gulf</t>
  </si>
  <si>
    <t>North Asia</t>
  </si>
  <si>
    <t>South Asia</t>
  </si>
  <si>
    <t>Total</t>
  </si>
  <si>
    <t xml:space="preserve">Total  Volumes </t>
  </si>
  <si>
    <t>Express +SnS</t>
  </si>
  <si>
    <t>Year 2019</t>
  </si>
  <si>
    <t>Before GP Reclassification</t>
  </si>
  <si>
    <t>After GP Reclassification</t>
  </si>
  <si>
    <t xml:space="preserve">Total Revenues </t>
  </si>
  <si>
    <t xml:space="preserve">Less:Cost of Services </t>
  </si>
  <si>
    <t>GP %</t>
  </si>
  <si>
    <t xml:space="preserve">Less: Operating expenses </t>
  </si>
  <si>
    <t>Less: SG&amp;A Expenses</t>
  </si>
  <si>
    <t xml:space="preserve">Net impairment loss on account receivables </t>
  </si>
  <si>
    <t xml:space="preserve">Net impairment loss on bank balances </t>
  </si>
  <si>
    <t xml:space="preserve">Other income /Expense </t>
  </si>
  <si>
    <t xml:space="preserve">Operating Profit </t>
  </si>
  <si>
    <t>Year 2020</t>
  </si>
  <si>
    <t>Aramex Historic Revenues by Product Segment 2020 - 2022</t>
  </si>
  <si>
    <t>Q1 2020</t>
  </si>
  <si>
    <t xml:space="preserve">Courier </t>
  </si>
  <si>
    <t xml:space="preserve">Freight </t>
  </si>
  <si>
    <t xml:space="preserve">Logistics </t>
  </si>
  <si>
    <t xml:space="preserve">Other Services </t>
  </si>
  <si>
    <t>Revenues</t>
  </si>
  <si>
    <t xml:space="preserve">EBIT </t>
  </si>
  <si>
    <t>Q2 2020</t>
  </si>
  <si>
    <t>Q3 2020</t>
  </si>
  <si>
    <t>Q4 2020</t>
  </si>
  <si>
    <t>Aramex Historic Express Revenues and Volumes 2018 - 2022</t>
  </si>
  <si>
    <t>1st Qrt'18</t>
  </si>
  <si>
    <t>2nd Qrt'18</t>
  </si>
  <si>
    <t>3rd Qrt'18</t>
  </si>
  <si>
    <t>4th Qrt'18</t>
  </si>
  <si>
    <t>Full year 2018</t>
  </si>
  <si>
    <t>Shipment Volumes (In Millions)</t>
  </si>
  <si>
    <t>Total Revenue International &amp; Domestic Express Revenue</t>
  </si>
  <si>
    <t>Total International &amp; Domestic Express Volume</t>
  </si>
  <si>
    <t>International Express+ SnS</t>
  </si>
  <si>
    <t>International Express</t>
  </si>
  <si>
    <t>Domestic Revenue</t>
  </si>
  <si>
    <t>Domestic Express</t>
  </si>
  <si>
    <t>1st Qrt'19</t>
  </si>
  <si>
    <t>2nd Qrt'19</t>
  </si>
  <si>
    <t>3rd Qrt'19</t>
  </si>
  <si>
    <t>4th Qrt'19</t>
  </si>
  <si>
    <t>Full year 2019</t>
  </si>
  <si>
    <t>1st Qrt'20</t>
  </si>
  <si>
    <t>2nd Qrt'20</t>
  </si>
  <si>
    <t>3rd Qrt'20</t>
  </si>
  <si>
    <t>4th Qrt'20</t>
  </si>
  <si>
    <t>Full year 2020</t>
  </si>
  <si>
    <t>1st Qrt'21</t>
  </si>
  <si>
    <t>2nd Qrt'21</t>
  </si>
  <si>
    <t>3rd Qrt'21</t>
  </si>
  <si>
    <t>4th Qrt'21</t>
  </si>
  <si>
    <t>Full year 2021</t>
  </si>
  <si>
    <t>1st Qrt'22</t>
  </si>
  <si>
    <t>2nd Qrt'22</t>
  </si>
  <si>
    <t>3rd Qrt'22</t>
  </si>
  <si>
    <t>4th Qrt'2</t>
  </si>
  <si>
    <t>Full year 2022</t>
  </si>
  <si>
    <t>Q3 2022</t>
  </si>
  <si>
    <t>Q3 22 vs Q3 21</t>
  </si>
  <si>
    <t>Q3'22</t>
  </si>
  <si>
    <t>SepYTD'22</t>
  </si>
  <si>
    <t xml:space="preserve">Q3'22 vs Q3'21 </t>
  </si>
  <si>
    <t>Sep YTD 2022</t>
  </si>
  <si>
    <t>Sep YTD 2021</t>
  </si>
  <si>
    <t>Sep YTD'22 vs Sep YTD'21</t>
  </si>
  <si>
    <t>Sep YTD 2022 vs Sep YTD 2021</t>
  </si>
  <si>
    <t>Q3 2022 and Sep YTD 2022</t>
  </si>
  <si>
    <t>Q32022</t>
  </si>
  <si>
    <t>Key Figures and Ratios</t>
  </si>
  <si>
    <t>Gross Profit Margin %</t>
  </si>
  <si>
    <t>EBIT %</t>
  </si>
  <si>
    <t>Net Profit Margin %</t>
  </si>
  <si>
    <t>Debt/Equity %</t>
  </si>
  <si>
    <t>Debt to Equity (Excluding IFRS 16)</t>
  </si>
  <si>
    <t xml:space="preserve">EPS (AED)from continuing operation </t>
  </si>
  <si>
    <t>Express+SNS</t>
  </si>
  <si>
    <t>Average revenue per shipment Express+SNS</t>
  </si>
  <si>
    <t>Average cost per shipment Express+SNS</t>
  </si>
  <si>
    <t>Total Int'l ExpressVolumes</t>
  </si>
  <si>
    <t>DecYTD'21</t>
  </si>
  <si>
    <t>Sep YTD'22</t>
  </si>
  <si>
    <t>Average GP per shipment Express+SNS</t>
  </si>
  <si>
    <t>Mar YTD'21</t>
  </si>
  <si>
    <t>AED</t>
  </si>
  <si>
    <t>Domestic Volumes</t>
  </si>
  <si>
    <t>Express Volumes</t>
  </si>
  <si>
    <t xml:space="preserve">*Freight Volumes were updated in Q3 2022 as per the new data system implementation across the network which improves data quality. The impact is mainly on land freight LTL absolute numbers.  </t>
  </si>
  <si>
    <t>Normalised Financials for Logistics</t>
  </si>
  <si>
    <t xml:space="preserve">Financials for the logistics product have been normalised to isolate the impact associated with the restructuring. Management expect to complete these restructuring efforts by end of this year.  </t>
  </si>
  <si>
    <t>Revenue Growth</t>
  </si>
  <si>
    <t>GCC</t>
  </si>
  <si>
    <t xml:space="preserve">North Asia </t>
  </si>
  <si>
    <t xml:space="preserve">South Asia </t>
  </si>
  <si>
    <t>Revenue Growth by Region</t>
  </si>
  <si>
    <t>N/A</t>
  </si>
  <si>
    <t xml:space="preserve">Holding Companies </t>
  </si>
  <si>
    <t>Key ratios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</si>
</sst>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_);_(* \(#,##0\);_(* &quot;-&quot;??_);_(@_)"/>
    <numFmt numFmtId="165" formatCode="_(* #,##0.0_);_(* \(#,##0.0\);_(* &quot;-&quot;??_);_(@_)"/>
    <numFmt numFmtId="166" formatCode="0%;[Red]\(0%\)"/>
    <numFmt numFmtId="167" formatCode="0.0%_);[Red]\(0.0%\)"/>
    <numFmt numFmtId="168" formatCode="0.0"/>
    <numFmt numFmtId="169" formatCode="#,##0;\(#,##0\)"/>
    <numFmt numFmtId="170" formatCode="0%_);[Red]\(0%\)"/>
    <numFmt numFmtId="171" formatCode="0.0%"/>
    <numFmt numFmtId="172" formatCode="0.000"/>
    <numFmt numFmtId="173" formatCode="#,##0.000_);[Red]\(#,##0.000\)"/>
    <numFmt numFmtId="174" formatCode="#,##0.0_);[Red]\(#,##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b/>
      <sz val="10"/>
      <color rgb="FFFFFFFF"/>
      <name val="Calibri"/>
      <family val="2"/>
      <scheme val="minor"/>
    </font>
    <font>
      <sz val="10"/>
      <color rgb="FF000000"/>
      <name val="Calibri"/>
      <family val="2"/>
      <scheme val="minor"/>
    </font>
    <font>
      <b/>
      <sz val="11"/>
      <color theme="1"/>
      <name val="Calibri"/>
      <family val="2"/>
      <scheme val="minor"/>
    </font>
    <font>
      <sz val="40"/>
      <color theme="1"/>
      <name val="Calibri"/>
      <family val="2"/>
      <scheme val="minor"/>
    </font>
    <font>
      <u/>
      <sz val="10"/>
      <color theme="10"/>
      <name val="Arial"/>
      <family val="2"/>
    </font>
    <font>
      <b/>
      <u/>
      <sz val="10"/>
      <color rgb="FFFFFFFF"/>
      <name val="Calibri"/>
      <family val="2"/>
      <scheme val="minor"/>
    </font>
    <font>
      <sz val="10"/>
      <color rgb="FFFFFFFF"/>
      <name val="Calibri"/>
      <family val="2"/>
      <scheme val="minor"/>
    </font>
    <font>
      <i/>
      <sz val="10"/>
      <name val="Calibri"/>
      <family val="2"/>
      <scheme val="minor"/>
    </font>
    <font>
      <sz val="10"/>
      <color theme="0"/>
      <name val="Calibri"/>
      <family val="2"/>
      <scheme val="minor"/>
    </font>
    <font>
      <b/>
      <u/>
      <sz val="10"/>
      <color rgb="FF000000"/>
      <name val="Calibri"/>
      <family val="2"/>
      <scheme val="minor"/>
    </font>
    <font>
      <b/>
      <sz val="10"/>
      <color rgb="FF000000"/>
      <name val="Calibri"/>
      <family val="2"/>
      <scheme val="minor"/>
    </font>
    <font>
      <sz val="10"/>
      <color theme="1"/>
      <name val="Calibri"/>
      <family val="2"/>
      <scheme val="minor"/>
    </font>
    <font>
      <sz val="10"/>
      <color rgb="FFFF0000"/>
      <name val="Calibri"/>
      <family val="2"/>
      <scheme val="minor"/>
    </font>
    <font>
      <sz val="11"/>
      <color rgb="FF000000"/>
      <name val="Calibri"/>
      <family val="2"/>
      <scheme val="minor"/>
    </font>
    <font>
      <sz val="9"/>
      <color rgb="FF333333"/>
      <name val="Calibri"/>
      <family val="2"/>
      <scheme val="minor"/>
    </font>
    <font>
      <b/>
      <sz val="8"/>
      <color rgb="FF333333"/>
      <name val="Calibri"/>
      <family val="2"/>
      <scheme val="minor"/>
    </font>
    <font>
      <i/>
      <sz val="9"/>
      <color rgb="FF000000"/>
      <name val="Calibri"/>
      <family val="2"/>
      <scheme val="minor"/>
    </font>
    <font>
      <b/>
      <sz val="11"/>
      <color rgb="FF000000"/>
      <name val="Calibri"/>
      <family val="2"/>
      <scheme val="minor"/>
    </font>
    <font>
      <b/>
      <sz val="14"/>
      <name val="Calibri"/>
      <family val="2"/>
      <scheme val="minor"/>
    </font>
    <font>
      <b/>
      <sz val="12"/>
      <name val="Calibri"/>
      <family val="2"/>
      <scheme val="minor"/>
    </font>
    <font>
      <sz val="12"/>
      <name val="Calibri"/>
      <family val="2"/>
      <scheme val="minor"/>
    </font>
    <font>
      <sz val="11"/>
      <name val="Calibri"/>
      <family val="2"/>
      <scheme val="minor"/>
    </font>
    <font>
      <b/>
      <sz val="11"/>
      <name val="Calibri"/>
      <family val="2"/>
      <scheme val="minor"/>
    </font>
    <font>
      <i/>
      <sz val="10"/>
      <color rgb="FF000000"/>
      <name val="Calibri"/>
      <family val="2"/>
      <scheme val="minor"/>
    </font>
    <font>
      <sz val="9"/>
      <color rgb="FFFF0000"/>
      <name val="Calibri"/>
      <family val="2"/>
      <scheme val="minor"/>
    </font>
    <font>
      <b/>
      <sz val="10"/>
      <color theme="0"/>
      <name val="Calibri"/>
      <family val="2"/>
      <scheme val="minor"/>
    </font>
    <font>
      <sz val="10"/>
      <color rgb="FF1F497D"/>
      <name val="Calibri"/>
      <family val="2"/>
      <scheme val="minor"/>
    </font>
    <font>
      <u/>
      <sz val="10"/>
      <color theme="10"/>
      <name val="Calibri"/>
      <family val="2"/>
      <scheme val="minor"/>
    </font>
    <font>
      <b/>
      <sz val="11"/>
      <color rgb="FF333333"/>
      <name val="Calibri"/>
      <family val="2"/>
      <scheme val="minor"/>
    </font>
    <font>
      <b/>
      <sz val="10"/>
      <color rgb="FF333333"/>
      <name val="Calibri"/>
      <family val="2"/>
      <scheme val="minor"/>
    </font>
    <font>
      <b/>
      <sz val="11"/>
      <name val="Calibri"/>
      <family val="2"/>
    </font>
    <font>
      <i/>
      <sz val="10"/>
      <color rgb="FF000000"/>
      <name val="Calibri"/>
      <family val="2"/>
    </font>
  </fonts>
  <fills count="18">
    <fill>
      <patternFill patternType="none"/>
    </fill>
    <fill>
      <patternFill patternType="gray125"/>
    </fill>
    <fill>
      <patternFill patternType="solid">
        <fgColor rgb="FFFFFFFF"/>
        <bgColor indexed="64"/>
      </patternFill>
    </fill>
    <fill>
      <patternFill patternType="solid">
        <fgColor rgb="FFF0F0F0"/>
        <bgColor indexed="64"/>
      </patternFill>
    </fill>
    <fill>
      <patternFill patternType="solid">
        <fgColor theme="0"/>
        <bgColor indexed="64"/>
      </patternFill>
    </fill>
    <fill>
      <patternFill patternType="solid">
        <fgColor rgb="FFE60000"/>
        <bgColor rgb="FF000000"/>
      </patternFill>
    </fill>
    <fill>
      <patternFill patternType="solid">
        <fgColor rgb="FFE60000"/>
        <bgColor rgb="FFFFFFFF"/>
      </patternFill>
    </fill>
    <fill>
      <patternFill patternType="solid">
        <fgColor rgb="FFFFFFFF"/>
        <bgColor rgb="FFFFFFFF"/>
      </patternFill>
    </fill>
    <fill>
      <patternFill patternType="solid">
        <fgColor rgb="FFD9D9D9"/>
        <bgColor rgb="FF000000"/>
      </patternFill>
    </fill>
    <fill>
      <patternFill patternType="solid">
        <fgColor rgb="FFD9D9D9"/>
        <bgColor rgb="FFFFFFFF"/>
      </patternFill>
    </fill>
    <fill>
      <patternFill patternType="solid">
        <fgColor rgb="FFFFFFFF"/>
        <bgColor rgb="FF000000"/>
      </patternFill>
    </fill>
    <fill>
      <patternFill patternType="solid">
        <fgColor rgb="FFF0F0F0"/>
        <bgColor rgb="FF000000"/>
      </patternFill>
    </fill>
    <fill>
      <patternFill patternType="solid">
        <fgColor rgb="FFFF0000"/>
        <bgColor indexed="64"/>
      </patternFill>
    </fill>
    <fill>
      <patternFill patternType="solid">
        <fgColor rgb="FFFF0000"/>
        <bgColor rgb="FF000000"/>
      </patternFill>
    </fill>
    <fill>
      <patternFill patternType="solid">
        <fgColor rgb="FFFF0000"/>
        <bgColor rgb="FFFFFFFF"/>
      </patternFill>
    </fill>
    <fill>
      <patternFill patternType="solid">
        <fgColor indexed="9"/>
        <bgColor indexed="64"/>
      </patternFill>
    </fill>
    <fill>
      <patternFill patternType="solid">
        <fgColor theme="2"/>
        <bgColor rgb="FFFFFFFF"/>
      </patternFill>
    </fill>
    <fill>
      <patternFill patternType="solid">
        <fgColor theme="2"/>
        <bgColor indexed="64"/>
      </patternFill>
    </fill>
  </fills>
  <borders count="34">
    <border>
      <left/>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style="hair">
        <color rgb="FF000000"/>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indexed="64"/>
      </bottom>
      <diagonal/>
    </border>
    <border>
      <left/>
      <right/>
      <top style="thin">
        <color indexed="64"/>
      </top>
      <bottom/>
      <diagonal/>
    </border>
    <border>
      <left/>
      <right/>
      <top/>
      <bottom style="thin">
        <color rgb="FFFF0000"/>
      </bottom>
      <diagonal/>
    </border>
    <border>
      <left style="thin">
        <color indexed="64"/>
      </left>
      <right style="thin">
        <color rgb="FF000000"/>
      </right>
      <top style="thin">
        <color indexed="64"/>
      </top>
      <bottom style="hair">
        <color rgb="FF000000"/>
      </bottom>
      <diagonal/>
    </border>
    <border>
      <left style="thin">
        <color rgb="FF000000"/>
      </left>
      <right style="thin">
        <color rgb="FF000000"/>
      </right>
      <top style="thin">
        <color indexed="64"/>
      </top>
      <bottom style="hair">
        <color rgb="FF000000"/>
      </bottom>
      <diagonal/>
    </border>
    <border>
      <left style="thin">
        <color rgb="FF000000"/>
      </left>
      <right style="thin">
        <color indexed="64"/>
      </right>
      <top style="thin">
        <color indexed="64"/>
      </top>
      <bottom/>
      <diagonal/>
    </border>
    <border>
      <left style="thin">
        <color indexed="64"/>
      </left>
      <right style="thin">
        <color rgb="FF000000"/>
      </right>
      <top style="hair">
        <color rgb="FF000000"/>
      </top>
      <bottom style="hair">
        <color rgb="FF000000"/>
      </bottom>
      <diagonal/>
    </border>
    <border>
      <left style="thin">
        <color indexed="64"/>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top style="hair">
        <color rgb="FF000000"/>
      </top>
      <bottom style="thin">
        <color indexed="64"/>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auto="1"/>
      </left>
      <right style="thin">
        <color auto="1"/>
      </right>
      <top style="hair">
        <color auto="1"/>
      </top>
      <bottom/>
      <diagonal/>
    </border>
    <border>
      <left/>
      <right style="medium">
        <color auto="1"/>
      </right>
      <top/>
      <bottom/>
      <diagonal/>
    </border>
    <border>
      <left/>
      <right style="medium">
        <color auto="1"/>
      </right>
      <top/>
      <bottom style="thin">
        <color indexed="64"/>
      </bottom>
      <diagonal/>
    </border>
    <border>
      <left style="dashDotDot">
        <color rgb="FFFF0000"/>
      </left>
      <right/>
      <top style="dashDotDot">
        <color rgb="FFFF0000"/>
      </top>
      <bottom style="dashDotDot">
        <color rgb="FFFF0000"/>
      </bottom>
      <diagonal/>
    </border>
    <border>
      <left/>
      <right/>
      <top style="dashDotDot">
        <color rgb="FFFF0000"/>
      </top>
      <bottom style="dashDotDot">
        <color rgb="FFFF0000"/>
      </bottom>
      <diagonal/>
    </border>
    <border>
      <left/>
      <right style="dashDotDot">
        <color rgb="FFFF0000"/>
      </right>
      <top style="dashDotDot">
        <color rgb="FFFF0000"/>
      </top>
      <bottom style="dashDotDot">
        <color rgb="FFFF0000"/>
      </bottom>
      <diagonal/>
    </border>
    <border>
      <left/>
      <right/>
      <top/>
      <bottom style="medium">
        <color auto="1"/>
      </bottom>
      <diagonal/>
    </border>
  </borders>
  <cellStyleXfs count="11">
    <xf numFmtId="0" fontId="0" fillId="0" borderId="0"/>
    <xf numFmtId="43" fontId="3"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2" fillId="0" borderId="0" applyFont="0" applyFill="0" applyBorder="0" applyAlignment="0" applyProtection="0"/>
    <xf numFmtId="0" fontId="11" fillId="0" borderId="0" applyNumberFormat="0" applyFill="0" applyBorder="0" applyAlignment="0" applyProtection="0"/>
    <xf numFmtId="0" fontId="4" fillId="0" borderId="0"/>
    <xf numFmtId="0" fontId="1" fillId="0" borderId="0"/>
  </cellStyleXfs>
  <cellXfs count="257">
    <xf numFmtId="0" fontId="0" fillId="0" borderId="0" xfId="0"/>
    <xf numFmtId="0" fontId="5" fillId="0" borderId="0" xfId="6" applyFont="1"/>
    <xf numFmtId="9" fontId="5" fillId="0" borderId="0" xfId="2" applyFont="1"/>
    <xf numFmtId="0" fontId="6" fillId="0" borderId="0" xfId="6" applyFont="1"/>
    <xf numFmtId="164" fontId="5" fillId="0" borderId="0" xfId="6" applyNumberFormat="1" applyFont="1"/>
    <xf numFmtId="164" fontId="8" fillId="2" borderId="3" xfId="7" applyNumberFormat="1" applyFont="1" applyFill="1" applyBorder="1" applyAlignment="1">
      <alignment horizontal="left" vertical="center"/>
    </xf>
    <xf numFmtId="164" fontId="8" fillId="2" borderId="4" xfId="7" applyNumberFormat="1" applyFont="1" applyFill="1" applyBorder="1" applyAlignment="1">
      <alignment horizontal="left" vertical="center"/>
    </xf>
    <xf numFmtId="164" fontId="8" fillId="2" borderId="5" xfId="7" applyNumberFormat="1" applyFont="1" applyFill="1" applyBorder="1" applyAlignment="1">
      <alignment horizontal="left" vertical="center"/>
    </xf>
    <xf numFmtId="164" fontId="8" fillId="3" borderId="3" xfId="7" applyNumberFormat="1" applyFont="1" applyFill="1" applyBorder="1" applyAlignment="1">
      <alignment horizontal="left" vertical="center"/>
    </xf>
    <xf numFmtId="164" fontId="8" fillId="3" borderId="4" xfId="7" applyNumberFormat="1" applyFont="1" applyFill="1" applyBorder="1" applyAlignment="1">
      <alignment horizontal="left" vertical="center"/>
    </xf>
    <xf numFmtId="164" fontId="8" fillId="3" borderId="6" xfId="7" applyNumberFormat="1" applyFont="1" applyFill="1" applyBorder="1" applyAlignment="1">
      <alignment horizontal="left" vertical="center"/>
    </xf>
    <xf numFmtId="164" fontId="8" fillId="2" borderId="6" xfId="7" applyNumberFormat="1" applyFont="1" applyFill="1" applyBorder="1" applyAlignment="1">
      <alignment horizontal="left" vertical="center"/>
    </xf>
    <xf numFmtId="0" fontId="5" fillId="0" borderId="0" xfId="6" applyFont="1" applyAlignment="1">
      <alignment horizontal="center"/>
    </xf>
    <xf numFmtId="0" fontId="10" fillId="4" borderId="0" xfId="0" applyFont="1" applyFill="1"/>
    <xf numFmtId="0" fontId="9" fillId="4" borderId="0" xfId="0" applyFont="1" applyFill="1"/>
    <xf numFmtId="0" fontId="8" fillId="2" borderId="3" xfId="6" applyFont="1" applyFill="1" applyBorder="1" applyAlignment="1">
      <alignment horizontal="left" vertical="center" wrapText="1"/>
    </xf>
    <xf numFmtId="0" fontId="5" fillId="0" borderId="0" xfId="6" applyFont="1" applyAlignment="1">
      <alignment horizontal="left"/>
    </xf>
    <xf numFmtId="0" fontId="8" fillId="3" borderId="3" xfId="6" applyFont="1" applyFill="1" applyBorder="1" applyAlignment="1">
      <alignment horizontal="left" vertical="center" wrapText="1" indent="2"/>
    </xf>
    <xf numFmtId="0" fontId="8" fillId="2" borderId="3" xfId="6" applyFont="1" applyFill="1" applyBorder="1" applyAlignment="1">
      <alignment horizontal="left" vertical="center" wrapText="1" indent="2"/>
    </xf>
    <xf numFmtId="0" fontId="11" fillId="0" borderId="0" xfId="8" applyAlignment="1">
      <alignment horizontal="left" indent="1"/>
    </xf>
    <xf numFmtId="0" fontId="5" fillId="0" borderId="0" xfId="0" applyFont="1"/>
    <xf numFmtId="0" fontId="9" fillId="0" borderId="0" xfId="0" applyFont="1"/>
    <xf numFmtId="0" fontId="5" fillId="0" borderId="0" xfId="9" applyFont="1"/>
    <xf numFmtId="0" fontId="6" fillId="0" borderId="0" xfId="9" applyFont="1"/>
    <xf numFmtId="0" fontId="5" fillId="0" borderId="0" xfId="9" quotePrefix="1" applyFont="1" applyAlignment="1">
      <alignment horizontal="left"/>
    </xf>
    <xf numFmtId="0" fontId="6" fillId="0" borderId="0" xfId="9" quotePrefix="1" applyFont="1" applyAlignment="1">
      <alignment horizontal="left"/>
    </xf>
    <xf numFmtId="0" fontId="5" fillId="0" borderId="0" xfId="9" applyFont="1" applyAlignment="1">
      <alignment horizontal="left"/>
    </xf>
    <xf numFmtId="0" fontId="14" fillId="0" borderId="0" xfId="9" applyFont="1"/>
    <xf numFmtId="38" fontId="5" fillId="0" borderId="0" xfId="0" applyNumberFormat="1" applyFont="1"/>
    <xf numFmtId="38" fontId="6" fillId="0" borderId="12" xfId="9" applyNumberFormat="1" applyFont="1" applyBorder="1"/>
    <xf numFmtId="38" fontId="9" fillId="0" borderId="24" xfId="0" applyNumberFormat="1" applyFont="1" applyBorder="1"/>
    <xf numFmtId="172" fontId="5" fillId="0" borderId="0" xfId="0" applyNumberFormat="1" applyFont="1"/>
    <xf numFmtId="170" fontId="5" fillId="0" borderId="0" xfId="2" applyNumberFormat="1" applyFont="1"/>
    <xf numFmtId="170" fontId="5" fillId="0" borderId="0" xfId="0" applyNumberFormat="1" applyFont="1"/>
    <xf numFmtId="38" fontId="6" fillId="0" borderId="0" xfId="9" applyNumberFormat="1" applyFont="1"/>
    <xf numFmtId="173" fontId="5" fillId="0" borderId="0" xfId="0" applyNumberFormat="1" applyFont="1"/>
    <xf numFmtId="38" fontId="5" fillId="0" borderId="11" xfId="0" applyNumberFormat="1" applyFont="1" applyBorder="1"/>
    <xf numFmtId="170" fontId="5" fillId="0" borderId="11" xfId="2" applyNumberFormat="1" applyFont="1" applyBorder="1"/>
    <xf numFmtId="38" fontId="6" fillId="0" borderId="0" xfId="0" applyNumberFormat="1" applyFont="1"/>
    <xf numFmtId="170" fontId="6" fillId="0" borderId="0" xfId="2" applyNumberFormat="1" applyFont="1"/>
    <xf numFmtId="38" fontId="6" fillId="0" borderId="24" xfId="0" applyNumberFormat="1" applyFont="1" applyBorder="1"/>
    <xf numFmtId="170" fontId="6" fillId="0" borderId="24" xfId="2" applyNumberFormat="1" applyFont="1" applyBorder="1"/>
    <xf numFmtId="0" fontId="5" fillId="0" borderId="0" xfId="0" applyFont="1" applyAlignment="1">
      <alignment wrapText="1"/>
    </xf>
    <xf numFmtId="38" fontId="9" fillId="0" borderId="25" xfId="0" applyNumberFormat="1" applyFont="1" applyBorder="1"/>
    <xf numFmtId="38" fontId="9" fillId="0" borderId="26" xfId="0" applyNumberFormat="1" applyFont="1" applyBorder="1"/>
    <xf numFmtId="38" fontId="9" fillId="0" borderId="12" xfId="0" applyNumberFormat="1" applyFont="1" applyBorder="1"/>
    <xf numFmtId="40" fontId="5" fillId="0" borderId="0" xfId="0" applyNumberFormat="1" applyFont="1"/>
    <xf numFmtId="0" fontId="16" fillId="0" borderId="0" xfId="0" applyFont="1" applyAlignment="1">
      <alignment horizontal="justify" vertical="center" wrapText="1"/>
    </xf>
    <xf numFmtId="0" fontId="8" fillId="0" borderId="0" xfId="0" quotePrefix="1" applyFont="1" applyAlignment="1">
      <alignment vertical="center"/>
    </xf>
    <xf numFmtId="0" fontId="8"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7" fillId="0" borderId="0" xfId="0" applyFont="1" applyAlignment="1">
      <alignment horizontal="left" vertical="center" wrapText="1"/>
    </xf>
    <xf numFmtId="0" fontId="8" fillId="0" borderId="0" xfId="0" applyFont="1" applyAlignment="1">
      <alignment horizontal="justify" vertical="center" wrapText="1"/>
    </xf>
    <xf numFmtId="0" fontId="18" fillId="0" borderId="0" xfId="0" applyFont="1" applyAlignment="1">
      <alignment horizontal="justify" vertical="center" wrapText="1"/>
    </xf>
    <xf numFmtId="0" fontId="8" fillId="0" borderId="0" xfId="0" applyFont="1" applyAlignment="1">
      <alignment vertical="center" wrapText="1"/>
    </xf>
    <xf numFmtId="38" fontId="9" fillId="0" borderId="24" xfId="0" applyNumberFormat="1" applyFont="1" applyBorder="1" applyAlignment="1">
      <alignment horizontal="center" vertical="center"/>
    </xf>
    <xf numFmtId="38" fontId="9" fillId="0" borderId="24" xfId="0" applyNumberFormat="1" applyFont="1" applyBorder="1" applyAlignment="1">
      <alignment horizontal="center"/>
    </xf>
    <xf numFmtId="38" fontId="5" fillId="0" borderId="0" xfId="0" applyNumberFormat="1" applyFont="1" applyAlignment="1">
      <alignment horizontal="center"/>
    </xf>
    <xf numFmtId="0" fontId="19" fillId="0" borderId="0" xfId="0" applyFont="1"/>
    <xf numFmtId="0" fontId="5" fillId="0" borderId="8" xfId="0" applyFont="1" applyBorder="1"/>
    <xf numFmtId="0" fontId="5" fillId="0" borderId="9" xfId="0" applyFont="1" applyBorder="1"/>
    <xf numFmtId="0" fontId="5" fillId="0" borderId="27" xfId="0" applyFont="1" applyBorder="1"/>
    <xf numFmtId="38" fontId="5" fillId="0" borderId="0" xfId="0" applyNumberFormat="1" applyFont="1" applyAlignment="1">
      <alignment vertical="center"/>
    </xf>
    <xf numFmtId="38" fontId="5" fillId="0" borderId="0" xfId="1" applyNumberFormat="1" applyFont="1" applyAlignment="1">
      <alignment horizontal="center" vertical="center"/>
    </xf>
    <xf numFmtId="38" fontId="9" fillId="0" borderId="12" xfId="0" applyNumberFormat="1" applyFont="1" applyBorder="1" applyAlignment="1">
      <alignment horizontal="center" vertical="center"/>
    </xf>
    <xf numFmtId="38" fontId="5" fillId="0" borderId="0" xfId="0" applyNumberFormat="1" applyFont="1" applyAlignment="1">
      <alignment horizontal="center" vertical="center"/>
    </xf>
    <xf numFmtId="38" fontId="5" fillId="0" borderId="11" xfId="0" applyNumberFormat="1" applyFont="1" applyBorder="1" applyAlignment="1">
      <alignment horizontal="center" vertical="center"/>
    </xf>
    <xf numFmtId="38" fontId="5" fillId="0" borderId="12" xfId="0" applyNumberFormat="1" applyFont="1" applyBorder="1" applyAlignment="1">
      <alignment horizontal="center" vertical="center"/>
    </xf>
    <xf numFmtId="38" fontId="9" fillId="0" borderId="0" xfId="0" applyNumberFormat="1" applyFont="1" applyAlignment="1">
      <alignment horizontal="center" vertical="center"/>
    </xf>
    <xf numFmtId="0" fontId="5" fillId="0" borderId="0" xfId="0" applyFont="1" applyAlignment="1">
      <alignment vertical="center"/>
    </xf>
    <xf numFmtId="0" fontId="20" fillId="0" borderId="0" xfId="0" applyFont="1"/>
    <xf numFmtId="0" fontId="6" fillId="0" borderId="0" xfId="0" applyFont="1"/>
    <xf numFmtId="0" fontId="12" fillId="5" borderId="0" xfId="0" applyFont="1" applyFill="1" applyAlignment="1">
      <alignment horizontal="left"/>
    </xf>
    <xf numFmtId="49" fontId="7" fillId="5" borderId="0" xfId="0" applyNumberFormat="1" applyFont="1" applyFill="1"/>
    <xf numFmtId="0" fontId="13" fillId="6" borderId="13" xfId="0" applyFont="1" applyFill="1" applyBorder="1" applyAlignment="1">
      <alignment horizontal="left"/>
    </xf>
    <xf numFmtId="0" fontId="7" fillId="5" borderId="0" xfId="0" applyFont="1" applyFill="1" applyAlignment="1">
      <alignment horizontal="left"/>
    </xf>
    <xf numFmtId="0" fontId="21" fillId="7" borderId="0" xfId="0" applyFont="1" applyFill="1" applyAlignment="1">
      <alignment horizontal="left"/>
    </xf>
    <xf numFmtId="49" fontId="22" fillId="7" borderId="0" xfId="0" applyNumberFormat="1" applyFont="1" applyFill="1" applyAlignment="1">
      <alignment horizontal="center"/>
    </xf>
    <xf numFmtId="49" fontId="23" fillId="0" borderId="0" xfId="0" applyNumberFormat="1" applyFont="1" applyAlignment="1">
      <alignment horizontal="left" indent="2"/>
    </xf>
    <xf numFmtId="0" fontId="24" fillId="0" borderId="0" xfId="0" applyFont="1"/>
    <xf numFmtId="0" fontId="24" fillId="8" borderId="0" xfId="0" applyFont="1" applyFill="1"/>
    <xf numFmtId="38" fontId="5" fillId="0" borderId="0" xfId="1" applyNumberFormat="1" applyFont="1" applyFill="1" applyBorder="1" applyAlignment="1">
      <alignment horizontal="right"/>
    </xf>
    <xf numFmtId="166" fontId="5" fillId="0" borderId="0" xfId="4" applyNumberFormat="1" applyFont="1" applyFill="1" applyBorder="1" applyAlignment="1">
      <alignment horizontal="right"/>
    </xf>
    <xf numFmtId="164" fontId="5" fillId="0" borderId="0" xfId="1" applyNumberFormat="1" applyFont="1" applyFill="1"/>
    <xf numFmtId="167" fontId="5" fillId="0" borderId="0" xfId="3" applyNumberFormat="1" applyFont="1" applyFill="1" applyBorder="1" applyAlignment="1">
      <alignment horizontal="center"/>
    </xf>
    <xf numFmtId="164" fontId="5" fillId="0" borderId="0" xfId="1" applyNumberFormat="1" applyFont="1" applyFill="1" applyBorder="1"/>
    <xf numFmtId="164" fontId="5" fillId="0" borderId="0" xfId="1" applyNumberFormat="1" applyFont="1" applyFill="1" applyBorder="1" applyAlignment="1">
      <alignment horizontal="center"/>
    </xf>
    <xf numFmtId="38" fontId="5" fillId="0" borderId="0" xfId="3" applyNumberFormat="1" applyFont="1" applyBorder="1"/>
    <xf numFmtId="38" fontId="6" fillId="0" borderId="0" xfId="3" applyNumberFormat="1" applyFont="1" applyBorder="1"/>
    <xf numFmtId="165" fontId="5" fillId="0" borderId="0" xfId="1" applyNumberFormat="1" applyFont="1"/>
    <xf numFmtId="164" fontId="5" fillId="0" borderId="0" xfId="1" applyNumberFormat="1" applyFont="1"/>
    <xf numFmtId="0" fontId="6" fillId="0" borderId="26" xfId="0" applyFont="1" applyBorder="1"/>
    <xf numFmtId="164" fontId="6" fillId="0" borderId="26" xfId="0" applyNumberFormat="1" applyFont="1" applyBorder="1"/>
    <xf numFmtId="165" fontId="5" fillId="0" borderId="0" xfId="0" applyNumberFormat="1" applyFont="1"/>
    <xf numFmtId="0" fontId="7" fillId="12" borderId="1" xfId="6" applyFont="1" applyFill="1" applyBorder="1" applyAlignment="1">
      <alignment horizontal="left" vertical="center" wrapText="1"/>
    </xf>
    <xf numFmtId="0" fontId="7" fillId="12" borderId="1" xfId="6" applyFont="1" applyFill="1" applyBorder="1" applyAlignment="1">
      <alignment horizontal="center" vertical="center" wrapText="1"/>
    </xf>
    <xf numFmtId="0" fontId="7" fillId="12" borderId="2" xfId="6" applyFont="1" applyFill="1" applyBorder="1" applyAlignment="1">
      <alignment horizontal="center" vertical="center" wrapText="1"/>
    </xf>
    <xf numFmtId="0" fontId="7" fillId="12" borderId="14" xfId="6" applyFont="1" applyFill="1" applyBorder="1" applyAlignment="1">
      <alignment horizontal="left" vertical="center"/>
    </xf>
    <xf numFmtId="0" fontId="7" fillId="12" borderId="15" xfId="6" applyFont="1" applyFill="1" applyBorder="1" applyAlignment="1">
      <alignment horizontal="center" vertical="center" wrapText="1"/>
    </xf>
    <xf numFmtId="0" fontId="7" fillId="12" borderId="16" xfId="6" applyFont="1" applyFill="1" applyBorder="1" applyAlignment="1">
      <alignment horizontal="center" vertical="center" wrapText="1"/>
    </xf>
    <xf numFmtId="0" fontId="8" fillId="10" borderId="17" xfId="6" applyFont="1" applyFill="1" applyBorder="1" applyAlignment="1">
      <alignment horizontal="left" vertical="center"/>
    </xf>
    <xf numFmtId="164" fontId="8" fillId="10" borderId="3" xfId="7" applyNumberFormat="1" applyFont="1" applyFill="1" applyBorder="1" applyAlignment="1">
      <alignment horizontal="left" vertical="center"/>
    </xf>
    <xf numFmtId="164" fontId="8" fillId="10" borderId="4" xfId="7" applyNumberFormat="1" applyFont="1" applyFill="1" applyBorder="1" applyAlignment="1">
      <alignment horizontal="left" vertical="center"/>
    </xf>
    <xf numFmtId="164" fontId="8" fillId="10" borderId="5" xfId="7" applyNumberFormat="1" applyFont="1" applyFill="1" applyBorder="1" applyAlignment="1">
      <alignment horizontal="left" vertical="center"/>
    </xf>
    <xf numFmtId="0" fontId="8" fillId="11" borderId="17" xfId="6" applyFont="1" applyFill="1" applyBorder="1" applyAlignment="1">
      <alignment horizontal="left" vertical="center" indent="2"/>
    </xf>
    <xf numFmtId="164" fontId="8" fillId="11" borderId="3" xfId="7" applyNumberFormat="1" applyFont="1" applyFill="1" applyBorder="1" applyAlignment="1">
      <alignment horizontal="left" vertical="center"/>
    </xf>
    <xf numFmtId="164" fontId="8" fillId="11" borderId="4" xfId="7" applyNumberFormat="1" applyFont="1" applyFill="1" applyBorder="1" applyAlignment="1">
      <alignment horizontal="left" vertical="center"/>
    </xf>
    <xf numFmtId="164" fontId="8" fillId="11" borderId="6" xfId="7" applyNumberFormat="1" applyFont="1" applyFill="1" applyBorder="1" applyAlignment="1">
      <alignment horizontal="left" vertical="center"/>
    </xf>
    <xf numFmtId="0" fontId="8" fillId="10" borderId="18" xfId="6" applyFont="1" applyFill="1" applyBorder="1" applyAlignment="1">
      <alignment horizontal="left" vertical="center" indent="2"/>
    </xf>
    <xf numFmtId="164" fontId="8" fillId="10" borderId="19" xfId="7" applyNumberFormat="1" applyFont="1" applyFill="1" applyBorder="1" applyAlignment="1">
      <alignment horizontal="left" vertical="center"/>
    </xf>
    <xf numFmtId="164" fontId="8" fillId="10" borderId="20" xfId="7" applyNumberFormat="1" applyFont="1" applyFill="1" applyBorder="1" applyAlignment="1">
      <alignment horizontal="left" vertical="center"/>
    </xf>
    <xf numFmtId="164" fontId="8" fillId="10" borderId="7" xfId="7" applyNumberFormat="1" applyFont="1" applyFill="1" applyBorder="1" applyAlignment="1">
      <alignment horizontal="left" vertical="center"/>
    </xf>
    <xf numFmtId="0" fontId="7" fillId="12" borderId="21" xfId="6" applyFont="1" applyFill="1" applyBorder="1" applyAlignment="1">
      <alignment horizontal="center" vertical="center" wrapText="1"/>
    </xf>
    <xf numFmtId="164" fontId="8" fillId="10" borderId="3" xfId="7" applyNumberFormat="1" applyFont="1" applyFill="1" applyBorder="1" applyAlignment="1">
      <alignment horizontal="center" vertical="center" wrapText="1"/>
    </xf>
    <xf numFmtId="164" fontId="8" fillId="10" borderId="22" xfId="7" applyNumberFormat="1" applyFont="1" applyFill="1" applyBorder="1" applyAlignment="1">
      <alignment horizontal="center" vertical="center" wrapText="1"/>
    </xf>
    <xf numFmtId="164" fontId="8" fillId="11" borderId="3" xfId="7" applyNumberFormat="1" applyFont="1" applyFill="1" applyBorder="1" applyAlignment="1">
      <alignment horizontal="center" vertical="center" wrapText="1"/>
    </xf>
    <xf numFmtId="164" fontId="8" fillId="11" borderId="22" xfId="7" applyNumberFormat="1" applyFont="1" applyFill="1" applyBorder="1" applyAlignment="1">
      <alignment horizontal="center" vertical="center" wrapText="1"/>
    </xf>
    <xf numFmtId="164" fontId="8" fillId="10" borderId="19" xfId="7" applyNumberFormat="1" applyFont="1" applyFill="1" applyBorder="1" applyAlignment="1">
      <alignment horizontal="center" vertical="center" wrapText="1"/>
    </xf>
    <xf numFmtId="164" fontId="8" fillId="10" borderId="23" xfId="7" applyNumberFormat="1" applyFont="1" applyFill="1" applyBorder="1" applyAlignment="1">
      <alignment horizontal="center" vertical="center" wrapText="1"/>
    </xf>
    <xf numFmtId="164" fontId="8" fillId="11" borderId="23" xfId="7" applyNumberFormat="1" applyFont="1" applyFill="1" applyBorder="1" applyAlignment="1">
      <alignment horizontal="center" vertical="center" wrapText="1"/>
    </xf>
    <xf numFmtId="165" fontId="8" fillId="11" borderId="3" xfId="7" applyNumberFormat="1" applyFont="1" applyFill="1" applyBorder="1" applyAlignment="1">
      <alignment horizontal="center" vertical="center" wrapText="1"/>
    </xf>
    <xf numFmtId="165" fontId="8" fillId="11" borderId="22" xfId="7" applyNumberFormat="1" applyFont="1" applyFill="1" applyBorder="1" applyAlignment="1">
      <alignment horizontal="center" vertical="center" wrapText="1"/>
    </xf>
    <xf numFmtId="164" fontId="30" fillId="10" borderId="19" xfId="7" applyNumberFormat="1" applyFont="1" applyFill="1" applyBorder="1" applyAlignment="1">
      <alignment horizontal="center" vertical="center" wrapText="1"/>
    </xf>
    <xf numFmtId="165" fontId="30" fillId="10" borderId="19" xfId="7" applyNumberFormat="1" applyFont="1" applyFill="1" applyBorder="1" applyAlignment="1">
      <alignment horizontal="center" vertical="center" wrapText="1"/>
    </xf>
    <xf numFmtId="0" fontId="29" fillId="0" borderId="0" xfId="0" applyFont="1"/>
    <xf numFmtId="0" fontId="31" fillId="0" borderId="0" xfId="0" applyFont="1"/>
    <xf numFmtId="0" fontId="5" fillId="12" borderId="0" xfId="0" applyFont="1" applyFill="1"/>
    <xf numFmtId="38" fontId="5" fillId="0" borderId="8" xfId="1" applyNumberFormat="1" applyFont="1" applyBorder="1"/>
    <xf numFmtId="38" fontId="5" fillId="0" borderId="9" xfId="1" applyNumberFormat="1" applyFont="1" applyBorder="1"/>
    <xf numFmtId="0" fontId="5" fillId="0" borderId="10" xfId="0" applyFont="1" applyBorder="1"/>
    <xf numFmtId="38" fontId="5" fillId="0" borderId="0" xfId="1" applyNumberFormat="1" applyFont="1" applyBorder="1"/>
    <xf numFmtId="0" fontId="12" fillId="13" borderId="0" xfId="0" applyFont="1" applyFill="1" applyAlignment="1">
      <alignment horizontal="left"/>
    </xf>
    <xf numFmtId="49" fontId="7" fillId="13" borderId="0" xfId="0" applyNumberFormat="1" applyFont="1" applyFill="1"/>
    <xf numFmtId="0" fontId="13" fillId="14" borderId="11" xfId="0" applyFont="1" applyFill="1" applyBorder="1" applyAlignment="1">
      <alignment horizontal="left"/>
    </xf>
    <xf numFmtId="49" fontId="7" fillId="13" borderId="11" xfId="0" applyNumberFormat="1" applyFont="1" applyFill="1" applyBorder="1" applyAlignment="1">
      <alignment horizontal="center"/>
    </xf>
    <xf numFmtId="49" fontId="7" fillId="13" borderId="11" xfId="0" applyNumberFormat="1" applyFont="1" applyFill="1" applyBorder="1" applyAlignment="1">
      <alignment horizontal="center" wrapText="1"/>
    </xf>
    <xf numFmtId="0" fontId="7" fillId="13" borderId="11" xfId="0" applyFont="1" applyFill="1" applyBorder="1" applyAlignment="1">
      <alignment horizontal="left"/>
    </xf>
    <xf numFmtId="0" fontId="26" fillId="0" borderId="0" xfId="0" applyFont="1"/>
    <xf numFmtId="0" fontId="32" fillId="12" borderId="0" xfId="0" applyFont="1" applyFill="1" applyAlignment="1">
      <alignment horizontal="center"/>
    </xf>
    <xf numFmtId="43" fontId="5" fillId="0" borderId="0" xfId="0" applyNumberFormat="1" applyFont="1"/>
    <xf numFmtId="0" fontId="13" fillId="6" borderId="0" xfId="0" applyFont="1" applyFill="1" applyAlignment="1">
      <alignment horizontal="left"/>
    </xf>
    <xf numFmtId="0" fontId="25" fillId="0" borderId="0" xfId="0" applyFont="1"/>
    <xf numFmtId="0" fontId="5" fillId="0" borderId="0" xfId="0" applyFont="1" applyAlignment="1">
      <alignment horizontal="center"/>
    </xf>
    <xf numFmtId="0" fontId="5" fillId="15" borderId="0" xfId="0" applyFont="1" applyFill="1"/>
    <xf numFmtId="166" fontId="5" fillId="0" borderId="0" xfId="0" applyNumberFormat="1" applyFont="1"/>
    <xf numFmtId="9" fontId="5" fillId="0" borderId="0" xfId="2" applyFont="1" applyBorder="1" applyAlignment="1">
      <alignment horizontal="center"/>
    </xf>
    <xf numFmtId="166" fontId="5" fillId="0" borderId="0" xfId="4" applyNumberFormat="1" applyFont="1" applyBorder="1" applyAlignment="1">
      <alignment horizontal="right"/>
    </xf>
    <xf numFmtId="38" fontId="5" fillId="0" borderId="0" xfId="1" applyNumberFormat="1" applyFont="1" applyBorder="1" applyAlignment="1">
      <alignment horizontal="right"/>
    </xf>
    <xf numFmtId="38" fontId="6" fillId="0" borderId="0" xfId="1" applyNumberFormat="1" applyFont="1" applyBorder="1" applyAlignment="1">
      <alignment horizontal="right"/>
    </xf>
    <xf numFmtId="166" fontId="6" fillId="0" borderId="0" xfId="4" applyNumberFormat="1" applyFont="1" applyBorder="1" applyAlignment="1">
      <alignment horizontal="right"/>
    </xf>
    <xf numFmtId="164" fontId="5" fillId="0" borderId="0" xfId="3" applyNumberFormat="1" applyFont="1" applyBorder="1" applyAlignment="1">
      <alignment horizontal="center"/>
    </xf>
    <xf numFmtId="167" fontId="5" fillId="0" borderId="0" xfId="3" applyNumberFormat="1" applyFont="1" applyBorder="1" applyAlignment="1">
      <alignment horizontal="center"/>
    </xf>
    <xf numFmtId="0" fontId="27" fillId="0" borderId="0" xfId="0" applyFont="1"/>
    <xf numFmtId="164" fontId="5" fillId="0" borderId="0" xfId="1" applyNumberFormat="1" applyFont="1" applyBorder="1" applyAlignment="1">
      <alignment horizontal="center"/>
    </xf>
    <xf numFmtId="0" fontId="5" fillId="0" borderId="11" xfId="0" applyFont="1" applyBorder="1"/>
    <xf numFmtId="43" fontId="5" fillId="0" borderId="11" xfId="0" applyNumberFormat="1" applyFont="1" applyBorder="1"/>
    <xf numFmtId="164" fontId="5" fillId="0" borderId="0" xfId="0" applyNumberFormat="1" applyFont="1"/>
    <xf numFmtId="168" fontId="5" fillId="0" borderId="0" xfId="0" applyNumberFormat="1" applyFont="1"/>
    <xf numFmtId="164" fontId="19" fillId="0" borderId="0" xfId="0" applyNumberFormat="1" applyFont="1"/>
    <xf numFmtId="164" fontId="19" fillId="0" borderId="0" xfId="1" applyNumberFormat="1" applyFont="1"/>
    <xf numFmtId="0" fontId="13" fillId="6" borderId="0" xfId="0" applyFont="1" applyFill="1" applyAlignment="1">
      <alignment horizontal="center"/>
    </xf>
    <xf numFmtId="40" fontId="6" fillId="0" borderId="0" xfId="3" applyNumberFormat="1" applyFont="1" applyFill="1" applyBorder="1"/>
    <xf numFmtId="0" fontId="5" fillId="0" borderId="28" xfId="0" applyFont="1" applyBorder="1"/>
    <xf numFmtId="164" fontId="5" fillId="0" borderId="28" xfId="1" applyNumberFormat="1" applyFont="1" applyBorder="1"/>
    <xf numFmtId="0" fontId="5" fillId="0" borderId="29" xfId="0" applyFont="1" applyBorder="1"/>
    <xf numFmtId="171" fontId="5" fillId="0" borderId="28" xfId="0" applyNumberFormat="1" applyFont="1" applyBorder="1"/>
    <xf numFmtId="0" fontId="19" fillId="0" borderId="28" xfId="0" applyFont="1" applyBorder="1"/>
    <xf numFmtId="0" fontId="28" fillId="0" borderId="0" xfId="0" applyFont="1" applyAlignment="1">
      <alignment vertical="center"/>
    </xf>
    <xf numFmtId="0" fontId="5" fillId="0" borderId="30" xfId="0" applyFont="1" applyBorder="1"/>
    <xf numFmtId="0" fontId="5" fillId="0" borderId="31" xfId="0" applyFont="1" applyBorder="1"/>
    <xf numFmtId="0" fontId="5" fillId="0" borderId="32" xfId="0" applyFont="1" applyBorder="1"/>
    <xf numFmtId="0" fontId="5" fillId="0" borderId="33" xfId="0" applyFont="1" applyBorder="1"/>
    <xf numFmtId="0" fontId="7" fillId="0" borderId="0" xfId="0" applyFont="1"/>
    <xf numFmtId="38" fontId="5" fillId="0" borderId="27" xfId="1" applyNumberFormat="1" applyFont="1" applyBorder="1"/>
    <xf numFmtId="170" fontId="5" fillId="0" borderId="27" xfId="2" applyNumberFormat="1" applyFont="1" applyBorder="1"/>
    <xf numFmtId="170" fontId="5" fillId="0" borderId="9" xfId="2" applyNumberFormat="1" applyFont="1" applyBorder="1"/>
    <xf numFmtId="170" fontId="5" fillId="0" borderId="10" xfId="2" applyNumberFormat="1" applyFont="1" applyBorder="1"/>
    <xf numFmtId="0" fontId="33" fillId="0" borderId="0" xfId="0" applyFont="1" applyAlignment="1">
      <alignment vertical="center"/>
    </xf>
    <xf numFmtId="0" fontId="15" fillId="0" borderId="0" xfId="6" applyFont="1"/>
    <xf numFmtId="0" fontId="15" fillId="0" borderId="0" xfId="0" applyFont="1"/>
    <xf numFmtId="0" fontId="5" fillId="4" borderId="0" xfId="0" applyFont="1" applyFill="1"/>
    <xf numFmtId="0" fontId="6" fillId="15" borderId="0" xfId="0" applyFont="1" applyFill="1"/>
    <xf numFmtId="0" fontId="6" fillId="0" borderId="0" xfId="0" applyFont="1" applyAlignment="1">
      <alignment horizontal="left" indent="1"/>
    </xf>
    <xf numFmtId="0" fontId="5" fillId="0" borderId="0" xfId="0" applyFont="1" applyAlignment="1">
      <alignment horizontal="left" indent="1"/>
    </xf>
    <xf numFmtId="0" fontId="34" fillId="0" borderId="0" xfId="8" applyFont="1" applyAlignment="1">
      <alignment horizontal="left" indent="1"/>
    </xf>
    <xf numFmtId="0" fontId="15" fillId="12" borderId="0" xfId="0" applyFont="1" applyFill="1" applyAlignment="1">
      <alignment horizontal="center" vertical="center"/>
    </xf>
    <xf numFmtId="9" fontId="5" fillId="0" borderId="0" xfId="2" applyFont="1" applyBorder="1" applyAlignment="1">
      <alignment horizontal="center" vertical="center"/>
    </xf>
    <xf numFmtId="38" fontId="13" fillId="6" borderId="0" xfId="0" applyNumberFormat="1" applyFont="1" applyFill="1" applyAlignment="1">
      <alignment horizontal="center"/>
    </xf>
    <xf numFmtId="38" fontId="5" fillId="0" borderId="0" xfId="4" applyNumberFormat="1" applyFont="1" applyBorder="1" applyAlignment="1">
      <alignment horizontal="right"/>
    </xf>
    <xf numFmtId="38" fontId="5" fillId="0" borderId="0" xfId="3" applyNumberFormat="1" applyFont="1" applyBorder="1" applyAlignment="1">
      <alignment horizontal="center"/>
    </xf>
    <xf numFmtId="38" fontId="5" fillId="0" borderId="0" xfId="1" applyNumberFormat="1" applyFont="1"/>
    <xf numFmtId="38" fontId="19" fillId="0" borderId="0" xfId="0" applyNumberFormat="1" applyFont="1"/>
    <xf numFmtId="49" fontId="7" fillId="5" borderId="0" xfId="0" applyNumberFormat="1" applyFont="1" applyFill="1" applyAlignment="1">
      <alignment horizontal="center" wrapText="1"/>
    </xf>
    <xf numFmtId="9" fontId="6" fillId="0" borderId="0" xfId="2" applyFont="1"/>
    <xf numFmtId="0" fontId="7" fillId="14" borderId="11" xfId="0" applyFont="1" applyFill="1" applyBorder="1" applyAlignment="1">
      <alignment horizontal="left"/>
    </xf>
    <xf numFmtId="0" fontId="7" fillId="14" borderId="11" xfId="0" applyFont="1" applyFill="1" applyBorder="1" applyAlignment="1">
      <alignment horizontal="right"/>
    </xf>
    <xf numFmtId="0" fontId="6" fillId="17" borderId="0" xfId="0" applyFont="1" applyFill="1"/>
    <xf numFmtId="0" fontId="5" fillId="17" borderId="0" xfId="0" applyFont="1" applyFill="1"/>
    <xf numFmtId="49" fontId="35" fillId="16" borderId="0" xfId="0" applyNumberFormat="1" applyFont="1" applyFill="1" applyAlignment="1">
      <alignment horizontal="left"/>
    </xf>
    <xf numFmtId="49" fontId="24" fillId="0" borderId="0" xfId="0" applyNumberFormat="1" applyFont="1" applyAlignment="1">
      <alignment horizontal="left"/>
    </xf>
    <xf numFmtId="49" fontId="35" fillId="7" borderId="0" xfId="0" applyNumberFormat="1" applyFont="1" applyFill="1" applyAlignment="1">
      <alignment horizontal="left"/>
    </xf>
    <xf numFmtId="169" fontId="17" fillId="16" borderId="0" xfId="0" applyNumberFormat="1" applyFont="1" applyFill="1" applyAlignment="1">
      <alignment horizontal="right"/>
    </xf>
    <xf numFmtId="38" fontId="17" fillId="16" borderId="0" xfId="0" applyNumberFormat="1" applyFont="1" applyFill="1" applyAlignment="1">
      <alignment horizontal="right"/>
    </xf>
    <xf numFmtId="170" fontId="17" fillId="16" borderId="0" xfId="2" applyNumberFormat="1" applyFont="1" applyFill="1" applyBorder="1" applyAlignment="1">
      <alignment horizontal="right"/>
    </xf>
    <xf numFmtId="169" fontId="17" fillId="0" borderId="0" xfId="0" applyNumberFormat="1" applyFont="1" applyAlignment="1">
      <alignment horizontal="right"/>
    </xf>
    <xf numFmtId="38" fontId="17" fillId="0" borderId="0" xfId="0" applyNumberFormat="1" applyFont="1" applyAlignment="1">
      <alignment horizontal="right"/>
    </xf>
    <xf numFmtId="170" fontId="17" fillId="7" borderId="0" xfId="2" applyNumberFormat="1" applyFont="1" applyFill="1" applyBorder="1" applyAlignment="1">
      <alignment horizontal="right"/>
    </xf>
    <xf numFmtId="170" fontId="19" fillId="0" borderId="0" xfId="2" applyNumberFormat="1" applyFont="1" applyFill="1" applyBorder="1"/>
    <xf numFmtId="169" fontId="17" fillId="7" borderId="0" xfId="0" applyNumberFormat="1" applyFont="1" applyFill="1" applyAlignment="1">
      <alignment horizontal="right"/>
    </xf>
    <xf numFmtId="38" fontId="17" fillId="7" borderId="0" xfId="0" applyNumberFormat="1" applyFont="1" applyFill="1" applyAlignment="1">
      <alignment horizontal="right"/>
    </xf>
    <xf numFmtId="38" fontId="17" fillId="9" borderId="0" xfId="0" applyNumberFormat="1" applyFont="1" applyFill="1" applyAlignment="1">
      <alignment horizontal="right"/>
    </xf>
    <xf numFmtId="170" fontId="17" fillId="9" borderId="0" xfId="2" applyNumberFormat="1" applyFont="1" applyFill="1" applyBorder="1" applyAlignment="1">
      <alignment horizontal="right"/>
    </xf>
    <xf numFmtId="49" fontId="36" fillId="16" borderId="0" xfId="0" applyNumberFormat="1" applyFont="1" applyFill="1" applyAlignment="1">
      <alignment horizontal="left"/>
    </xf>
    <xf numFmtId="49" fontId="17" fillId="0" borderId="0" xfId="0" applyNumberFormat="1" applyFont="1" applyAlignment="1">
      <alignment horizontal="left"/>
    </xf>
    <xf numFmtId="38" fontId="17" fillId="17" borderId="0" xfId="0" applyNumberFormat="1" applyFont="1" applyFill="1" applyAlignment="1">
      <alignment horizontal="right"/>
    </xf>
    <xf numFmtId="49" fontId="36" fillId="7" borderId="0" xfId="0" applyNumberFormat="1" applyFont="1" applyFill="1" applyAlignment="1">
      <alignment horizontal="left"/>
    </xf>
    <xf numFmtId="0" fontId="17" fillId="0" borderId="0" xfId="0" applyFont="1"/>
    <xf numFmtId="0" fontId="17" fillId="8" borderId="0" xfId="0" applyFont="1" applyFill="1"/>
    <xf numFmtId="0" fontId="8" fillId="0" borderId="0" xfId="0" applyFont="1"/>
    <xf numFmtId="0" fontId="7" fillId="5" borderId="0" xfId="0" applyFont="1" applyFill="1" applyAlignment="1">
      <alignment horizontal="center"/>
    </xf>
    <xf numFmtId="2" fontId="5" fillId="0" borderId="0" xfId="0" applyNumberFormat="1" applyFont="1"/>
    <xf numFmtId="38" fontId="5" fillId="0" borderId="0" xfId="1" applyNumberFormat="1" applyFont="1" applyFill="1" applyAlignment="1">
      <alignment horizontal="center" vertical="center"/>
    </xf>
    <xf numFmtId="38" fontId="5" fillId="0" borderId="9" xfId="0" applyNumberFormat="1" applyFont="1" applyBorder="1" applyAlignment="1">
      <alignment vertical="center"/>
    </xf>
    <xf numFmtId="171" fontId="5" fillId="0" borderId="9" xfId="2" applyNumberFormat="1" applyFont="1" applyFill="1" applyBorder="1" applyAlignment="1">
      <alignment vertical="center"/>
    </xf>
    <xf numFmtId="38" fontId="5" fillId="0" borderId="8" xfId="0" applyNumberFormat="1" applyFont="1" applyBorder="1" applyAlignment="1">
      <alignment vertical="center"/>
    </xf>
    <xf numFmtId="164" fontId="5" fillId="0" borderId="0" xfId="1" applyNumberFormat="1" applyFont="1" applyBorder="1"/>
    <xf numFmtId="43" fontId="5" fillId="0" borderId="0" xfId="1" applyFont="1"/>
    <xf numFmtId="1" fontId="5" fillId="0" borderId="0" xfId="0" applyNumberFormat="1" applyFont="1"/>
    <xf numFmtId="38" fontId="5" fillId="0" borderId="0" xfId="0" quotePrefix="1" applyNumberFormat="1" applyFont="1"/>
    <xf numFmtId="40" fontId="6" fillId="0" borderId="0" xfId="3" applyNumberFormat="1" applyFont="1" applyBorder="1"/>
    <xf numFmtId="174" fontId="5" fillId="0" borderId="0" xfId="0" applyNumberFormat="1" applyFont="1"/>
    <xf numFmtId="0" fontId="32" fillId="12" borderId="0" xfId="0" applyFont="1" applyFill="1" applyAlignment="1">
      <alignment horizontal="center" vertical="center"/>
    </xf>
    <xf numFmtId="171" fontId="5" fillId="0" borderId="0" xfId="2" applyNumberFormat="1" applyFont="1" applyFill="1"/>
    <xf numFmtId="0" fontId="37" fillId="0" borderId="0" xfId="0" applyFont="1"/>
    <xf numFmtId="10" fontId="5" fillId="0" borderId="0" xfId="0" applyNumberFormat="1" applyFont="1"/>
    <xf numFmtId="164" fontId="13" fillId="6" borderId="0" xfId="0" applyNumberFormat="1" applyFont="1" applyFill="1" applyAlignment="1">
      <alignment horizontal="center"/>
    </xf>
    <xf numFmtId="0" fontId="6" fillId="0" borderId="0" xfId="0" applyFont="1" applyAlignment="1">
      <alignment horizontal="center"/>
    </xf>
    <xf numFmtId="38" fontId="6" fillId="0" borderId="0" xfId="0" applyNumberFormat="1" applyFont="1" applyAlignment="1">
      <alignment horizontal="center"/>
    </xf>
    <xf numFmtId="0" fontId="6" fillId="0" borderId="26" xfId="0" applyFont="1" applyBorder="1" applyAlignment="1">
      <alignment horizontal="center"/>
    </xf>
    <xf numFmtId="38" fontId="6" fillId="0" borderId="26" xfId="0" applyNumberFormat="1" applyFont="1" applyBorder="1" applyAlignment="1">
      <alignment horizontal="center"/>
    </xf>
    <xf numFmtId="9" fontId="5" fillId="0" borderId="28" xfId="2" applyFont="1" applyBorder="1"/>
    <xf numFmtId="167" fontId="6" fillId="0" borderId="24" xfId="2" applyNumberFormat="1" applyFont="1" applyBorder="1"/>
    <xf numFmtId="0" fontId="38" fillId="0" borderId="0" xfId="0" applyFont="1" applyAlignment="1">
      <alignment horizontal="left" vertical="center" readingOrder="1"/>
    </xf>
    <xf numFmtId="0" fontId="7" fillId="5" borderId="0" xfId="0" applyFont="1" applyFill="1" applyAlignment="1">
      <alignment horizontal="right"/>
    </xf>
    <xf numFmtId="170" fontId="5" fillId="0" borderId="0" xfId="0" applyNumberFormat="1" applyFont="1" applyAlignment="1">
      <alignment horizontal="center"/>
    </xf>
    <xf numFmtId="164" fontId="8" fillId="0" borderId="0" xfId="1" applyNumberFormat="1" applyFont="1" applyBorder="1" applyAlignment="1">
      <alignment horizontal="right" vertical="center"/>
    </xf>
    <xf numFmtId="164" fontId="5" fillId="0" borderId="0" xfId="1" applyNumberFormat="1" applyFont="1" applyBorder="1" applyAlignment="1">
      <alignment horizontal="right" vertical="center"/>
    </xf>
    <xf numFmtId="0" fontId="8" fillId="0" borderId="0" xfId="0" applyFont="1" applyAlignment="1">
      <alignment vertical="center"/>
    </xf>
    <xf numFmtId="9" fontId="19" fillId="0" borderId="0" xfId="0" applyNumberFormat="1" applyFont="1"/>
    <xf numFmtId="38" fontId="5" fillId="0" borderId="12" xfId="0" applyNumberFormat="1" applyFont="1" applyBorder="1"/>
    <xf numFmtId="0" fontId="5" fillId="0" borderId="12" xfId="0" applyFont="1" applyBorder="1"/>
    <xf numFmtId="49" fontId="7" fillId="13" borderId="0" xfId="0" applyNumberFormat="1" applyFont="1" applyFill="1" applyAlignment="1">
      <alignment horizontal="center" wrapText="1"/>
    </xf>
    <xf numFmtId="49" fontId="7" fillId="5" borderId="0" xfId="0" applyNumberFormat="1" applyFont="1" applyFill="1" applyAlignment="1">
      <alignment horizontal="center" wrapText="1"/>
    </xf>
    <xf numFmtId="0" fontId="5" fillId="0" borderId="0" xfId="0" applyFont="1" applyAlignment="1">
      <alignment horizontal="left" vertical="top" wrapText="1"/>
    </xf>
    <xf numFmtId="0" fontId="13" fillId="6" borderId="0" xfId="0" applyFont="1" applyFill="1" applyAlignment="1">
      <alignment horizontal="center" vertical="center"/>
    </xf>
    <xf numFmtId="0" fontId="32" fillId="12" borderId="0" xfId="0" applyFont="1" applyFill="1" applyAlignment="1">
      <alignment horizontal="center"/>
    </xf>
  </cellXfs>
  <cellStyles count="11">
    <cellStyle name="Comma" xfId="1" builtinId="3"/>
    <cellStyle name="Comma 2" xfId="3" xr:uid="{1A70046C-AB87-4D44-A261-1FF3B6996944}"/>
    <cellStyle name="Comma 3" xfId="7" xr:uid="{8959B3B2-B5CF-40B7-84EF-28F88E083B11}"/>
    <cellStyle name="Hyperlink" xfId="8" builtinId="8"/>
    <cellStyle name="Normal" xfId="0" builtinId="0"/>
    <cellStyle name="Normal 2" xfId="6" xr:uid="{0A9740B7-A6D6-4EB3-B423-74DACB1DFF43}"/>
    <cellStyle name="Normal 2 2" xfId="9" xr:uid="{BA65F987-AB52-4DA7-B8F9-2AE3626222EE}"/>
    <cellStyle name="Normal 3" xfId="10" xr:uid="{F59DDD8A-6658-425E-B1B5-54D1F9DB1230}"/>
    <cellStyle name="Percent" xfId="2" builtinId="5"/>
    <cellStyle name="Percent 2" xfId="4" xr:uid="{72395AA4-C6FE-4865-BEEC-51EAD7C4A456}"/>
    <cellStyle name="Percent 2 2" xfId="5" xr:uid="{50EAF2F7-38FB-4044-971F-6DC4985956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3</xdr:row>
      <xdr:rowOff>19051</xdr:rowOff>
    </xdr:from>
    <xdr:to>
      <xdr:col>12</xdr:col>
      <xdr:colOff>104775</xdr:colOff>
      <xdr:row>7</xdr:row>
      <xdr:rowOff>140913</xdr:rowOff>
    </xdr:to>
    <xdr:pic>
      <xdr:nvPicPr>
        <xdr:cNvPr id="3" name="Picture 2">
          <a:extLst>
            <a:ext uri="{FF2B5EF4-FFF2-40B4-BE49-F238E27FC236}">
              <a16:creationId xmlns:a16="http://schemas.microsoft.com/office/drawing/2014/main" id="{2393AFFE-ADDD-2084-3550-CD74FEADF8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714750" y="504826"/>
          <a:ext cx="4800600" cy="769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95250</xdr:rowOff>
    </xdr:from>
    <xdr:to>
      <xdr:col>2</xdr:col>
      <xdr:colOff>460748</xdr:colOff>
      <xdr:row>2</xdr:row>
      <xdr:rowOff>85725</xdr:rowOff>
    </xdr:to>
    <xdr:pic>
      <xdr:nvPicPr>
        <xdr:cNvPr id="3" name="Picture 2">
          <a:extLst>
            <a:ext uri="{FF2B5EF4-FFF2-40B4-BE49-F238E27FC236}">
              <a16:creationId xmlns:a16="http://schemas.microsoft.com/office/drawing/2014/main" id="{4B4B036F-0660-4579-905F-1C6AAC1845E3}"/>
            </a:ext>
          </a:extLst>
        </xdr:cNvPr>
        <xdr:cNvPicPr>
          <a:picLocks noChangeAspect="1"/>
        </xdr:cNvPicPr>
      </xdr:nvPicPr>
      <xdr:blipFill rotWithShape="1">
        <a:blip xmlns:r="http://schemas.openxmlformats.org/officeDocument/2006/relationships" r:embed="rId1"/>
        <a:srcRect l="55006" t="22984" r="3479" b="51531"/>
        <a:stretch/>
      </xdr:blipFill>
      <xdr:spPr>
        <a:xfrm>
          <a:off x="733425" y="95250"/>
          <a:ext cx="946523" cy="314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57151</xdr:colOff>
      <xdr:row>0</xdr:row>
      <xdr:rowOff>76201</xdr:rowOff>
    </xdr:from>
    <xdr:to>
      <xdr:col>1</xdr:col>
      <xdr:colOff>1238250</xdr:colOff>
      <xdr:row>2</xdr:row>
      <xdr:rowOff>131024</xdr:rowOff>
    </xdr:to>
    <xdr:pic>
      <xdr:nvPicPr>
        <xdr:cNvPr id="2" name="Picture 1">
          <a:extLst>
            <a:ext uri="{FF2B5EF4-FFF2-40B4-BE49-F238E27FC236}">
              <a16:creationId xmlns:a16="http://schemas.microsoft.com/office/drawing/2014/main" id="{DA56ED20-782C-4079-146D-6C1DDA619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6" y="76201"/>
          <a:ext cx="1181099" cy="3786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57151</xdr:colOff>
      <xdr:row>0</xdr:row>
      <xdr:rowOff>76201</xdr:rowOff>
    </xdr:from>
    <xdr:to>
      <xdr:col>1</xdr:col>
      <xdr:colOff>1238250</xdr:colOff>
      <xdr:row>2</xdr:row>
      <xdr:rowOff>131024</xdr:rowOff>
    </xdr:to>
    <xdr:pic>
      <xdr:nvPicPr>
        <xdr:cNvPr id="2" name="Picture 1">
          <a:extLst>
            <a:ext uri="{FF2B5EF4-FFF2-40B4-BE49-F238E27FC236}">
              <a16:creationId xmlns:a16="http://schemas.microsoft.com/office/drawing/2014/main" id="{5F94C409-DEA9-4677-B187-CB26AB5F4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6251" y="76201"/>
          <a:ext cx="1181099" cy="3786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57151</xdr:colOff>
      <xdr:row>0</xdr:row>
      <xdr:rowOff>76201</xdr:rowOff>
    </xdr:from>
    <xdr:to>
      <xdr:col>1</xdr:col>
      <xdr:colOff>1238250</xdr:colOff>
      <xdr:row>2</xdr:row>
      <xdr:rowOff>131024</xdr:rowOff>
    </xdr:to>
    <xdr:pic>
      <xdr:nvPicPr>
        <xdr:cNvPr id="2" name="Picture 1">
          <a:extLst>
            <a:ext uri="{FF2B5EF4-FFF2-40B4-BE49-F238E27FC236}">
              <a16:creationId xmlns:a16="http://schemas.microsoft.com/office/drawing/2014/main" id="{0CF372B2-985B-41FB-801B-A8E272CD61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6251" y="76201"/>
          <a:ext cx="1181099" cy="3786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590550</xdr:colOff>
      <xdr:row>0</xdr:row>
      <xdr:rowOff>104775</xdr:rowOff>
    </xdr:from>
    <xdr:to>
      <xdr:col>1</xdr:col>
      <xdr:colOff>1200150</xdr:colOff>
      <xdr:row>2</xdr:row>
      <xdr:rowOff>114664</xdr:rowOff>
    </xdr:to>
    <xdr:pic>
      <xdr:nvPicPr>
        <xdr:cNvPr id="3" name="Picture 2">
          <a:extLst>
            <a:ext uri="{FF2B5EF4-FFF2-40B4-BE49-F238E27FC236}">
              <a16:creationId xmlns:a16="http://schemas.microsoft.com/office/drawing/2014/main" id="{3EC8E3AB-6460-B906-E3EA-87A0D16A9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90550" y="104775"/>
          <a:ext cx="1219200" cy="3908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47626</xdr:colOff>
      <xdr:row>0</xdr:row>
      <xdr:rowOff>66675</xdr:rowOff>
    </xdr:from>
    <xdr:to>
      <xdr:col>1</xdr:col>
      <xdr:colOff>1266826</xdr:colOff>
      <xdr:row>2</xdr:row>
      <xdr:rowOff>133713</xdr:rowOff>
    </xdr:to>
    <xdr:pic>
      <xdr:nvPicPr>
        <xdr:cNvPr id="2" name="Picture 1">
          <a:extLst>
            <a:ext uri="{FF2B5EF4-FFF2-40B4-BE49-F238E27FC236}">
              <a16:creationId xmlns:a16="http://schemas.microsoft.com/office/drawing/2014/main" id="{4A2130BF-0242-0BE0-C33F-7E9869AFE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57226" y="66675"/>
          <a:ext cx="1219200" cy="3908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533400</xdr:colOff>
      <xdr:row>0</xdr:row>
      <xdr:rowOff>152400</xdr:rowOff>
    </xdr:from>
    <xdr:to>
      <xdr:col>19</xdr:col>
      <xdr:colOff>514350</xdr:colOff>
      <xdr:row>2</xdr:row>
      <xdr:rowOff>19050</xdr:rowOff>
    </xdr:to>
    <xdr:sp macro="" textlink="">
      <xdr:nvSpPr>
        <xdr:cNvPr id="2" name="TextBox 1">
          <a:extLst>
            <a:ext uri="{FF2B5EF4-FFF2-40B4-BE49-F238E27FC236}">
              <a16:creationId xmlns:a16="http://schemas.microsoft.com/office/drawing/2014/main" id="{9AD799E5-BB32-440B-A828-2FD610C8EEBC}"/>
            </a:ext>
          </a:extLst>
        </xdr:cNvPr>
        <xdr:cNvSpPr txBox="1"/>
      </xdr:nvSpPr>
      <xdr:spPr>
        <a:xfrm>
          <a:off x="533400" y="152400"/>
          <a:ext cx="116776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section has been prepared to provide background on the 2020  GP reclassification. </a:t>
          </a:r>
        </a:p>
        <a:p>
          <a:endParaRPr lang="en-US" sz="1100" baseline="0"/>
        </a:p>
        <a:p>
          <a:r>
            <a:rPr lang="en-US" sz="1100"/>
            <a:t>At full year 2020 Aramex implemented a GP reclassification to facilitate the EBIT per product analysis. Therefore, following the GP reclassification, operating expenses was included in our cost of services (for both variable and fixed costs) and impacting the GP calculation. Previously, operating expenses was a line below GP.</a:t>
          </a:r>
        </a:p>
        <a:p>
          <a:endParaRPr lang="en-US" sz="1100"/>
        </a:p>
        <a:p>
          <a:r>
            <a:rPr lang="en-US" sz="1100"/>
            <a:t>Financial statements at FY 2020 included a comparative reclassification for 2019 . A</a:t>
          </a:r>
          <a:r>
            <a:rPr lang="en-US" sz="1100" baseline="0"/>
            <a:t> d</a:t>
          </a:r>
          <a:r>
            <a:rPr lang="en-US" sz="1100"/>
            <a:t>etailed explanation of the reclassifications can be found in Note 41 in the Full Year 2020 financial statements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amex.sharepoint.com/docs/balance_sheet/2012/Aramex%20PJSC/JKT%20BS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ramex.sharepoint.com/Finance/Income%20Statements/2007/Financial%20reports-Dec'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ramex.sharepoint.com/sites/Finance/docs/income_statements/2021/Adaptive%20Consolidation/05-May21%20Package%20AF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ramex.sharepoint.com/Users/benfrnz/Google%20Drive/1%20Iridium%20Shared/4%20TEMPLATES/Aramex/IRIDIUM%20-%20Aramex%20Data%20Pack%202016Q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ramex.sharepoint.com/Users/leenr/AppData/Local/Microsoft/Windows/INetCache/Content.Outlook/XKA1CX5M/Aramex%20-%20Iridium%20additional%20first%20cut%20requir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1"/>
      <sheetName val="SCHEDULE 1"/>
      <sheetName val="Prov. fr bad debts"/>
      <sheetName val="SCHEDULE 3"/>
      <sheetName val="SCHEDULE 4"/>
      <sheetName val="SCHEDULE 5"/>
      <sheetName val="SCHEDULE 6-WH"/>
      <sheetName val="SCHEDULE 6-Normal"/>
      <sheetName val="SCHEDULE 6-Total"/>
      <sheetName val="SCHEDULE 7"/>
      <sheetName val="SCHEDULE 8"/>
      <sheetName val="SCHEDULE 9"/>
      <sheetName val="Prov-Income Tax"/>
      <sheetName val="Deffered Tax"/>
      <sheetName val="SCHEDULE 11"/>
      <sheetName val="Non-Controlling Interest"/>
      <sheetName val="Cash proceeds Entries"/>
      <sheetName val="IPC Investment in GDA"/>
    </sheetNames>
    <sheetDataSet>
      <sheetData sheetId="0">
        <row r="7">
          <cell r="D7">
            <v>77083.109845469953</v>
          </cell>
        </row>
      </sheetData>
      <sheetData sheetId="1">
        <row r="7">
          <cell r="D7">
            <v>44507.500966342086</v>
          </cell>
        </row>
      </sheetData>
      <sheetData sheetId="2">
        <row r="8">
          <cell r="B8">
            <v>128.93615613628845</v>
          </cell>
        </row>
      </sheetData>
      <sheetData sheetId="3">
        <row r="7">
          <cell r="D7">
            <v>0</v>
          </cell>
        </row>
      </sheetData>
      <sheetData sheetId="4">
        <row r="6">
          <cell r="D6">
            <v>12449.364484546995</v>
          </cell>
        </row>
      </sheetData>
      <sheetData sheetId="5">
        <row r="7">
          <cell r="E7">
            <v>17167.061812023709</v>
          </cell>
        </row>
      </sheetData>
      <sheetData sheetId="6">
        <row r="35">
          <cell r="E35">
            <v>0</v>
          </cell>
        </row>
      </sheetData>
      <sheetData sheetId="7"/>
      <sheetData sheetId="8">
        <row r="35">
          <cell r="E35">
            <v>68575.604520895358</v>
          </cell>
        </row>
      </sheetData>
      <sheetData sheetId="9">
        <row r="32">
          <cell r="F32">
            <v>0</v>
          </cell>
        </row>
      </sheetData>
      <sheetData sheetId="10">
        <row r="8">
          <cell r="F8">
            <v>1069.9674281410066</v>
          </cell>
        </row>
      </sheetData>
      <sheetData sheetId="11">
        <row r="6">
          <cell r="D6">
            <v>281.89524978831497</v>
          </cell>
        </row>
      </sheetData>
      <sheetData sheetId="12">
        <row r="7">
          <cell r="B7">
            <v>2572.4246333664778</v>
          </cell>
        </row>
      </sheetData>
      <sheetData sheetId="13">
        <row r="7">
          <cell r="B7">
            <v>-17445.203761164405</v>
          </cell>
        </row>
      </sheetData>
      <sheetData sheetId="14">
        <row r="8">
          <cell r="B8">
            <v>47664.272001323181</v>
          </cell>
        </row>
      </sheetData>
      <sheetData sheetId="15">
        <row r="4">
          <cell r="D4">
            <v>95785.394511798455</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Chart Analysis"/>
      <sheetName val="data"/>
      <sheetName val="Chart data"/>
    </sheetNames>
    <sheetDataSet>
      <sheetData sheetId="0">
        <row r="30">
          <cell r="C30" t="str">
            <v>U.S Dollars</v>
          </cell>
        </row>
        <row r="33">
          <cell r="B33">
            <v>1</v>
          </cell>
        </row>
        <row r="36">
          <cell r="B36">
            <v>2</v>
          </cell>
        </row>
      </sheetData>
      <sheetData sheetId="1"/>
      <sheetData sheetId="2" refreshError="1"/>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21 vs Bud'21-Month"/>
      <sheetName val="Act'21 vs Bud'21-QTD"/>
      <sheetName val="Act'21 vs Bud'21-YTD"/>
      <sheetName val="Act'21 vs Bud'21-Apr+May"/>
      <sheetName val="Act'21 vs Act'20-Month"/>
      <sheetName val="Act'21 vs Act'20-QTD"/>
      <sheetName val="Act'21 vs Act'20-YTD"/>
      <sheetName val="Act'21 vs Act'20-Apr+May"/>
      <sheetName val="Act'20 Month by Month"/>
      <sheetName val="Bonus Summary"/>
      <sheetName val="Act Vs last year and Bud"/>
      <sheetName val="Condensed P&amp;L"/>
      <sheetName val="Act'21 vs Bud'21-Month EBIT"/>
      <sheetName val="Act'21 vs Bud'21-QTD EBIT"/>
      <sheetName val="Act'21 vs Bud'21-YTD EBIT"/>
      <sheetName val="Act'21 vs Bud'21-Apr+May EBIT"/>
      <sheetName val="Act'21 vs Act'20-Month EBIT"/>
      <sheetName val="Act'21 vs Act'20-QTD EBIT"/>
      <sheetName val="Act'21 vs Act'20-YTD EBIT"/>
      <sheetName val="Act'21 vs Act'20-Apr+May EBIT"/>
      <sheetName val="vs Budget Template"/>
      <sheetName val="vs last year template"/>
      <sheetName val="Apr+May template"/>
      <sheetName val="2021 vs 2020 vs 19 "/>
      <sheetName val="EBITDA"/>
      <sheetName val="Bonus "/>
      <sheetName val="Commission"/>
      <sheetName val="Lease payments"/>
      <sheetName val="Ratio"/>
      <sheetName val="Report Data"/>
      <sheetName val="Report Info"/>
    </sheetNames>
    <sheetDataSet>
      <sheetData sheetId="0"/>
      <sheetData sheetId="1"/>
      <sheetData sheetId="2"/>
      <sheetData sheetId="3"/>
      <sheetData sheetId="4">
        <row r="11">
          <cell r="D11">
            <v>108.74514159433467</v>
          </cell>
        </row>
      </sheetData>
      <sheetData sheetId="5">
        <row r="11">
          <cell r="D11">
            <v>274959.11761870037</v>
          </cell>
        </row>
      </sheetData>
      <sheetData sheetId="6">
        <row r="11">
          <cell r="D11">
            <v>250907.69581892149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Minorities &amp; Disc Ops"/>
      <sheetName val="Geographic Ownership"/>
      <sheetName val="Underlying P&amp;L"/>
      <sheetName val="XRates"/>
    </sheetNames>
    <sheetDataSet>
      <sheetData sheetId="0" refreshError="1"/>
      <sheetData sheetId="1" refreshError="1"/>
      <sheetData sheetId="2" refreshError="1"/>
      <sheetData sheetId="3" refreshError="1"/>
      <sheetData sheetId="4" refreshError="1">
        <row r="1">
          <cell r="B1">
            <v>3.6726000000000001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325B-E0D0-464D-8BAD-9986BD29D38E}">
  <dimension ref="A1:BI50"/>
  <sheetViews>
    <sheetView showGridLines="0" zoomScaleNormal="100" workbookViewId="0">
      <selection activeCell="M15" sqref="M15"/>
    </sheetView>
  </sheetViews>
  <sheetFormatPr defaultRowHeight="12.75" x14ac:dyDescent="0.2"/>
  <cols>
    <col min="1" max="2" width="9.140625" style="20"/>
    <col min="3" max="3" width="25.5703125" style="20" bestFit="1" customWidth="1"/>
    <col min="4" max="16384" width="9.140625" style="20"/>
  </cols>
  <sheetData>
    <row r="1" spans="1:61" x14ac:dyDescent="0.2">
      <c r="A1" s="180">
        <v>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row>
    <row r="2" spans="1:61" x14ac:dyDescent="0.2">
      <c r="A2" s="180">
        <f>1/3.6726</f>
        <v>0.27228666339922669</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row>
    <row r="3" spans="1:61" x14ac:dyDescent="0.2">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row>
    <row r="4" spans="1:61" x14ac:dyDescent="0.2">
      <c r="A4" s="180" t="str">
        <f>B5</f>
        <v>AED</v>
      </c>
      <c r="B4" s="182" t="s">
        <v>0</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row>
    <row r="5" spans="1:61" x14ac:dyDescent="0.2">
      <c r="A5" s="180">
        <f>IF(B5="AED",A1,A2)</f>
        <v>1</v>
      </c>
      <c r="B5" s="181" t="s">
        <v>309</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row>
    <row r="6" spans="1:61" x14ac:dyDescent="0.2">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row>
    <row r="7" spans="1:61" x14ac:dyDescent="0.2">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row>
    <row r="8" spans="1:61" x14ac:dyDescent="0.2">
      <c r="A8" s="181"/>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row>
    <row r="9" spans="1:61" x14ac:dyDescent="0.2">
      <c r="A9" s="181"/>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row>
    <row r="10" spans="1:61" ht="51" x14ac:dyDescent="0.75">
      <c r="A10" s="181"/>
      <c r="B10" s="181"/>
      <c r="C10" s="181"/>
      <c r="D10" s="181"/>
      <c r="E10" s="181"/>
      <c r="F10" s="13" t="s">
        <v>1</v>
      </c>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row>
    <row r="11" spans="1:61" x14ac:dyDescent="0.2">
      <c r="A11" s="181"/>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row>
    <row r="12" spans="1:61" x14ac:dyDescent="0.2">
      <c r="A12" s="181"/>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row>
    <row r="13" spans="1:61" x14ac:dyDescent="0.2">
      <c r="A13" s="181"/>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row>
    <row r="14" spans="1:61" x14ac:dyDescent="0.2">
      <c r="A14" s="181"/>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row>
    <row r="15" spans="1:61" ht="15" x14ac:dyDescent="0.25">
      <c r="A15" s="181"/>
      <c r="B15" s="181"/>
      <c r="C15" s="14" t="s">
        <v>2</v>
      </c>
      <c r="D15" s="14"/>
      <c r="E15" s="14"/>
      <c r="F15" s="14"/>
      <c r="G15" s="14"/>
      <c r="H15" s="14"/>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row>
    <row r="16" spans="1:61" ht="15" x14ac:dyDescent="0.25">
      <c r="A16" s="181"/>
      <c r="B16" s="181"/>
      <c r="C16" s="14" t="s">
        <v>3</v>
      </c>
      <c r="D16" s="14" t="s">
        <v>4</v>
      </c>
      <c r="E16" s="14"/>
      <c r="F16" s="14"/>
      <c r="G16" s="14"/>
      <c r="H16" s="14" t="s">
        <v>5</v>
      </c>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row>
    <row r="17" spans="1:61" ht="15" x14ac:dyDescent="0.25">
      <c r="A17" s="181"/>
      <c r="B17" s="181"/>
      <c r="C17" s="14" t="s">
        <v>6</v>
      </c>
      <c r="D17" s="14" t="s">
        <v>7</v>
      </c>
      <c r="E17" s="14"/>
      <c r="F17" s="14"/>
      <c r="G17" s="14"/>
      <c r="H17" s="14" t="s">
        <v>8</v>
      </c>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row>
    <row r="18" spans="1:61" ht="15" x14ac:dyDescent="0.25">
      <c r="A18" s="181"/>
      <c r="B18" s="181"/>
      <c r="C18" s="14"/>
      <c r="D18" s="14"/>
      <c r="E18" s="14"/>
      <c r="F18" s="14"/>
      <c r="G18" s="14"/>
      <c r="H18" s="14"/>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row>
    <row r="19" spans="1:61" ht="15" x14ac:dyDescent="0.25">
      <c r="A19" s="181"/>
      <c r="B19" s="181"/>
      <c r="C19" s="14"/>
      <c r="D19" s="14"/>
      <c r="E19" s="14"/>
      <c r="F19" s="14"/>
      <c r="G19" s="14"/>
      <c r="H19" s="14"/>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row>
    <row r="20" spans="1:61" ht="15" x14ac:dyDescent="0.25">
      <c r="A20" s="181"/>
      <c r="B20" s="181"/>
      <c r="C20" s="14"/>
      <c r="D20" s="14"/>
      <c r="E20" s="14"/>
      <c r="F20" s="14"/>
      <c r="G20" s="14"/>
      <c r="H20" s="14"/>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row>
    <row r="21" spans="1:61" x14ac:dyDescent="0.2">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row>
    <row r="22" spans="1:61" x14ac:dyDescent="0.2">
      <c r="A22" s="181"/>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row>
    <row r="23" spans="1:61" x14ac:dyDescent="0.2">
      <c r="A23" s="181"/>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row>
    <row r="24" spans="1:61" x14ac:dyDescent="0.2">
      <c r="A24" s="181"/>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row>
    <row r="25" spans="1:61" x14ac:dyDescent="0.2">
      <c r="A25" s="181"/>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row>
    <row r="26" spans="1:61" x14ac:dyDescent="0.2">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row>
    <row r="27" spans="1:61" x14ac:dyDescent="0.2">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row>
    <row r="28" spans="1:61" x14ac:dyDescent="0.2">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row>
    <row r="29" spans="1:61" x14ac:dyDescent="0.2">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row>
    <row r="30" spans="1:61" x14ac:dyDescent="0.2">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row>
    <row r="31" spans="1:61" x14ac:dyDescent="0.2">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row>
    <row r="32" spans="1:61" x14ac:dyDescent="0.2">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row>
    <row r="33" spans="1:61" x14ac:dyDescent="0.2">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row>
    <row r="34" spans="1:61" x14ac:dyDescent="0.2">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row>
    <row r="35" spans="1:61" x14ac:dyDescent="0.2">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row>
    <row r="36" spans="1:61" x14ac:dyDescent="0.2">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row>
    <row r="37" spans="1:61" x14ac:dyDescent="0.2">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row>
    <row r="38" spans="1:61" x14ac:dyDescent="0.2">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row>
    <row r="39" spans="1:61" x14ac:dyDescent="0.2">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row>
    <row r="40" spans="1:61" x14ac:dyDescent="0.2">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row>
    <row r="41" spans="1:61" x14ac:dyDescent="0.2">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row>
    <row r="42" spans="1:61" x14ac:dyDescent="0.2">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row>
    <row r="43" spans="1:61" x14ac:dyDescent="0.2">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row>
    <row r="44" spans="1:61" x14ac:dyDescent="0.2">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row>
    <row r="45" spans="1:61" x14ac:dyDescent="0.2">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row>
    <row r="46" spans="1:61" x14ac:dyDescent="0.2">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row>
    <row r="47" spans="1:61" x14ac:dyDescent="0.2">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row>
    <row r="48" spans="1:61" x14ac:dyDescent="0.2">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row>
    <row r="49" spans="1:25" x14ac:dyDescent="0.2">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row>
    <row r="50" spans="1:25" x14ac:dyDescent="0.2">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row>
  </sheetData>
  <dataValidations count="1">
    <dataValidation type="list" allowBlank="1" showInputMessage="1" showErrorMessage="1" sqref="B5" xr:uid="{3A326A52-03CA-485E-BF5D-A4909B4F22A5}">
      <formula1>"AED, USD"</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7F27E-55D1-46E1-99AC-32222F2C0F51}">
  <dimension ref="A2:Q37"/>
  <sheetViews>
    <sheetView showGridLines="0" workbookViewId="0">
      <pane xSplit="2" ySplit="6" topLeftCell="C7" activePane="bottomRight" state="frozen"/>
      <selection pane="topRight" activeCell="P28" sqref="P28"/>
      <selection pane="bottomLeft" activeCell="P28" sqref="P28"/>
      <selection pane="bottomRight" activeCell="J37" sqref="J37"/>
    </sheetView>
  </sheetViews>
  <sheetFormatPr defaultRowHeight="15" x14ac:dyDescent="0.25"/>
  <cols>
    <col min="1" max="1" width="9.140625" style="20"/>
    <col min="2" max="2" width="25.5703125" style="71" bestFit="1" customWidth="1"/>
    <col min="3" max="3" width="13.28515625" style="20" bestFit="1" customWidth="1"/>
    <col min="4" max="5" width="12.7109375" style="20" customWidth="1"/>
    <col min="6" max="6" width="13.7109375" style="20" customWidth="1"/>
    <col min="7" max="7" width="12.7109375" style="20" customWidth="1"/>
    <col min="8" max="8" width="12.7109375" style="20" bestFit="1" customWidth="1"/>
    <col min="9" max="9" width="13.5703125" style="20" bestFit="1" customWidth="1"/>
    <col min="10" max="10" width="12.85546875" style="20" bestFit="1" customWidth="1"/>
    <col min="11" max="16384" width="9.140625" style="20"/>
  </cols>
  <sheetData>
    <row r="2" spans="1:17" x14ac:dyDescent="0.25">
      <c r="A2" s="180">
        <f>'2022 IR Data Book'!$A$5</f>
        <v>1</v>
      </c>
    </row>
    <row r="3" spans="1:17" x14ac:dyDescent="0.25">
      <c r="A3" s="180"/>
    </row>
    <row r="4" spans="1:17" ht="12.75" x14ac:dyDescent="0.2">
      <c r="B4" s="73" t="s">
        <v>21</v>
      </c>
      <c r="C4" s="73"/>
      <c r="D4" s="74"/>
      <c r="E4" s="73"/>
      <c r="F4" s="73"/>
      <c r="G4" s="73"/>
      <c r="H4" s="74"/>
      <c r="I4" s="74"/>
      <c r="J4" s="253" t="s">
        <v>22</v>
      </c>
      <c r="K4" s="253"/>
      <c r="L4" s="253" t="s">
        <v>22</v>
      </c>
      <c r="M4" s="253"/>
      <c r="Q4" s="72"/>
    </row>
    <row r="5" spans="1:17" ht="12.75" x14ac:dyDescent="0.2">
      <c r="B5" s="141"/>
      <c r="C5" s="76" t="s">
        <v>23</v>
      </c>
      <c r="D5" s="76" t="s">
        <v>24</v>
      </c>
      <c r="E5" s="76" t="s">
        <v>25</v>
      </c>
      <c r="F5" s="76" t="s">
        <v>26</v>
      </c>
      <c r="G5" s="76" t="s">
        <v>28</v>
      </c>
      <c r="H5" s="76" t="s">
        <v>29</v>
      </c>
      <c r="I5" s="76" t="s">
        <v>283</v>
      </c>
      <c r="J5" s="76" t="str">
        <f>+'Aramex Courier'!J5</f>
        <v>Q3 22 vs Q3 21</v>
      </c>
      <c r="K5" s="76" t="s">
        <v>30</v>
      </c>
      <c r="L5" s="76" t="str">
        <f>+'Aramex Courier'!L5</f>
        <v>Sep YTD 2022 vs Sep YTD 2021</v>
      </c>
      <c r="M5" s="76" t="s">
        <v>30</v>
      </c>
    </row>
    <row r="6" spans="1:17" ht="12.75" x14ac:dyDescent="0.2">
      <c r="B6" s="77"/>
      <c r="C6" s="78"/>
      <c r="D6" s="78"/>
      <c r="E6" s="78"/>
      <c r="F6" s="78"/>
    </row>
    <row r="7" spans="1:17" x14ac:dyDescent="0.25">
      <c r="B7" s="199" t="s">
        <v>178</v>
      </c>
      <c r="C7" s="202">
        <f>288280.575940776*('2022 IR Data Book'!$A$5)</f>
        <v>288280.57594077598</v>
      </c>
      <c r="D7" s="202">
        <f>328594.887287615*('2022 IR Data Book'!$A$5)</f>
        <v>328594.88728761498</v>
      </c>
      <c r="E7" s="202">
        <f>317999.956029371*('2022 IR Data Book'!$A$5)</f>
        <v>317999.95602937101</v>
      </c>
      <c r="F7" s="202">
        <f>390676.023992678*('2022 IR Data Book'!$A$5)</f>
        <v>390676.02399267798</v>
      </c>
      <c r="G7" s="202">
        <f>391132.666929349*('2022 IR Data Book'!$A$5)</f>
        <v>391132.66692934901</v>
      </c>
      <c r="H7" s="202">
        <f>432410.059701346*('2022 IR Data Book'!$A$5)</f>
        <v>432410.05970134598</v>
      </c>
      <c r="I7" s="202">
        <f>439529.933418189*('2022 IR Data Book'!$A$5)</f>
        <v>439529.933418189</v>
      </c>
      <c r="J7" s="203">
        <f>(I7-E7)</f>
        <v>121529.97738881799</v>
      </c>
      <c r="K7" s="204">
        <f>J7/E7</f>
        <v>0.38216979305995025</v>
      </c>
      <c r="L7" s="203">
        <f>(H7+G7+I7)-(D7+C7+E7)</f>
        <v>328197.24079112185</v>
      </c>
      <c r="M7" s="204">
        <f>L7/(D7+C7+E7)</f>
        <v>0.35105986747591655</v>
      </c>
    </row>
    <row r="8" spans="1:17" x14ac:dyDescent="0.25">
      <c r="B8" s="200" t="s">
        <v>181</v>
      </c>
      <c r="C8" s="205">
        <f>251447.615478377*('2022 IR Data Book'!$A$5)</f>
        <v>251447.615478377</v>
      </c>
      <c r="D8" s="205">
        <f>294641.538103587*('2022 IR Data Book'!$A$5)</f>
        <v>294641.53810358699</v>
      </c>
      <c r="E8" s="205">
        <f>279789.238512976*('2022 IR Data Book'!$A$5)</f>
        <v>279789.23851297598</v>
      </c>
      <c r="F8" s="205">
        <f>345797.662241694*('2022 IR Data Book'!$A$5)</f>
        <v>345797.66224169399</v>
      </c>
      <c r="G8" s="205">
        <f>339170.526827265*('2022 IR Data Book'!$A$5)</f>
        <v>339170.52682726498</v>
      </c>
      <c r="H8" s="205">
        <f>374509.42866716*('2022 IR Data Book'!$A$5)</f>
        <v>374509.42866715998</v>
      </c>
      <c r="I8" s="205">
        <f>378656.481028786*('2022 IR Data Book'!$A$5)</f>
        <v>378656.48102878599</v>
      </c>
      <c r="J8" s="206">
        <f>(I8-E8)</f>
        <v>98867.242515810009</v>
      </c>
      <c r="K8" s="207">
        <f>J8/E8</f>
        <v>0.35336327816348367</v>
      </c>
      <c r="L8" s="206">
        <f>(H8+G8+I8)-(D8+C8+E8)</f>
        <v>266458.04442827101</v>
      </c>
      <c r="M8" s="207">
        <f>L8/(D8+C8+E8)</f>
        <v>0.32263593160776144</v>
      </c>
    </row>
    <row r="9" spans="1:17" x14ac:dyDescent="0.25">
      <c r="B9" s="199" t="s">
        <v>182</v>
      </c>
      <c r="C9" s="202">
        <f>C7-C8</f>
        <v>36832.960462398973</v>
      </c>
      <c r="D9" s="202">
        <f t="shared" ref="D9:H9" si="0">D7-D8</f>
        <v>33953.349184027989</v>
      </c>
      <c r="E9" s="202">
        <f t="shared" si="0"/>
        <v>38210.717516395031</v>
      </c>
      <c r="F9" s="202">
        <f t="shared" si="0"/>
        <v>44878.361750983982</v>
      </c>
      <c r="G9" s="202">
        <f t="shared" si="0"/>
        <v>51962.140102084028</v>
      </c>
      <c r="H9" s="202">
        <f t="shared" si="0"/>
        <v>57900.631034185993</v>
      </c>
      <c r="I9" s="202">
        <f t="shared" ref="I9" si="1">I7-I8</f>
        <v>60873.452389403014</v>
      </c>
      <c r="J9" s="202">
        <f>(I9-E9)</f>
        <v>22662.734873007983</v>
      </c>
      <c r="K9" s="204">
        <f>J9/E9</f>
        <v>0.59309890905042828</v>
      </c>
      <c r="L9" s="202">
        <f>(H9+G9+I9)-(D9+C9+E9)</f>
        <v>61739.196362851042</v>
      </c>
      <c r="M9" s="204">
        <f>L9/(D9+C9+E9)</f>
        <v>0.56643009419535606</v>
      </c>
    </row>
    <row r="10" spans="1:17" x14ac:dyDescent="0.25">
      <c r="B10" s="201" t="s">
        <v>183</v>
      </c>
      <c r="C10" s="208">
        <f>C9/C7</f>
        <v>0.12776774967303345</v>
      </c>
      <c r="D10" s="208">
        <f t="shared" ref="D10:H10" si="2">D9/D7</f>
        <v>0.10332890284537218</v>
      </c>
      <c r="E10" s="208">
        <f t="shared" si="2"/>
        <v>0.12015950566001281</v>
      </c>
      <c r="F10" s="208">
        <f t="shared" si="2"/>
        <v>0.11487360112947471</v>
      </c>
      <c r="G10" s="208">
        <f t="shared" si="2"/>
        <v>0.13285042262008262</v>
      </c>
      <c r="H10" s="208">
        <f t="shared" si="2"/>
        <v>0.13390213695346589</v>
      </c>
      <c r="I10" s="208">
        <f t="shared" ref="I10" si="3">I9/I7</f>
        <v>0.13849671606207808</v>
      </c>
      <c r="J10" s="208"/>
      <c r="K10" s="208"/>
      <c r="L10" s="208"/>
      <c r="M10" s="208"/>
    </row>
    <row r="11" spans="1:17" x14ac:dyDescent="0.25">
      <c r="B11" s="80" t="s">
        <v>184</v>
      </c>
      <c r="C11" s="209">
        <f>32732.6409250042*('2022 IR Data Book'!$A$5)</f>
        <v>32732.640925004202</v>
      </c>
      <c r="D11" s="209">
        <f>34550.7422333988*('2022 IR Data Book'!$A$5)</f>
        <v>34550.7422333988</v>
      </c>
      <c r="E11" s="209">
        <f>33417.1568083944*('2022 IR Data Book'!$A$5)</f>
        <v>33417.1568083944</v>
      </c>
      <c r="F11" s="209">
        <f>40441.5146286001*('2022 IR Data Book'!$A$5)</f>
        <v>40441.514628600104</v>
      </c>
      <c r="G11" s="209">
        <f>35545.8533554252*('2022 IR Data Book'!$A$5)</f>
        <v>35545.853355425199</v>
      </c>
      <c r="H11" s="209">
        <f>39705.6464057161*('2022 IR Data Book'!$A$5)</f>
        <v>39705.646405716099</v>
      </c>
      <c r="I11" s="209">
        <f>38414.9799334238*('2022 IR Data Book'!$A$5)</f>
        <v>38414.979933423798</v>
      </c>
      <c r="J11" s="210">
        <f>(I11-E11)</f>
        <v>4997.8231250293975</v>
      </c>
      <c r="K11" s="207">
        <f>J11/E11</f>
        <v>0.14955859810832089</v>
      </c>
      <c r="L11" s="210">
        <f>(H11+G11+I11)-(D11+C11+E11)</f>
        <v>12965.939727767691</v>
      </c>
      <c r="M11" s="207">
        <f>L11/(D11+C11+E11)</f>
        <v>0.12875740022886442</v>
      </c>
    </row>
    <row r="12" spans="1:17" x14ac:dyDescent="0.25">
      <c r="B12" s="81" t="s">
        <v>185</v>
      </c>
      <c r="C12" s="211">
        <f>3822.92049566416*('2022 IR Data Book'!$A$5)</f>
        <v>3822.9204956641602</v>
      </c>
      <c r="D12" s="211">
        <f>171.814102409621*('2022 IR Data Book'!$A$5)</f>
        <v>171.814102409621</v>
      </c>
      <c r="E12" s="211">
        <f>5640.07082045135*('2022 IR Data Book'!$A$5)</f>
        <v>5640.0708204513503</v>
      </c>
      <c r="F12" s="211">
        <f>4141.4806397408*('2022 IR Data Book'!$A$5)</f>
        <v>4141.4806397408001</v>
      </c>
      <c r="G12" s="211">
        <f>14686.2116146079*('2022 IR Data Book'!$A$5)</f>
        <v>14686.211614607901</v>
      </c>
      <c r="H12" s="211">
        <f>17191.5272319881*('2022 IR Data Book'!$A$5)</f>
        <v>17191.527231988101</v>
      </c>
      <c r="I12" s="211">
        <f>23649.3192942625*('2022 IR Data Book'!$A$5)</f>
        <v>23649.319294262499</v>
      </c>
      <c r="J12" s="211">
        <f>(I12-E12)</f>
        <v>18009.248473811149</v>
      </c>
      <c r="K12" s="212">
        <f>J12/E12</f>
        <v>3.19308906698621</v>
      </c>
      <c r="L12" s="211">
        <f>(H12+G12+I12)-(D12+C12+E12)</f>
        <v>45892.252722333367</v>
      </c>
      <c r="M12" s="212">
        <f>L12/(D12+C12+E12)</f>
        <v>4.7631737984137121</v>
      </c>
    </row>
    <row r="13" spans="1:17" x14ac:dyDescent="0.25">
      <c r="B13" s="71" t="s">
        <v>186</v>
      </c>
      <c r="C13" s="208">
        <f>C12/C7</f>
        <v>1.326111023328029E-2</v>
      </c>
      <c r="D13" s="208">
        <f>D12/D7</f>
        <v>5.2287515435148657E-4</v>
      </c>
      <c r="E13" s="208">
        <f t="shared" ref="E13:H13" si="4">E12/E7</f>
        <v>1.7736074214835501E-2</v>
      </c>
      <c r="F13" s="208">
        <f t="shared" si="4"/>
        <v>1.0600805745423526E-2</v>
      </c>
      <c r="G13" s="208">
        <f t="shared" si="4"/>
        <v>3.7547903451543456E-2</v>
      </c>
      <c r="H13" s="208">
        <f t="shared" si="4"/>
        <v>3.975746365350942E-2</v>
      </c>
      <c r="I13" s="208">
        <f t="shared" ref="I13" si="5">I12/I7</f>
        <v>5.3805935605667723E-2</v>
      </c>
      <c r="J13" s="208"/>
      <c r="K13" s="208"/>
      <c r="L13" s="208"/>
      <c r="M13" s="208"/>
    </row>
    <row r="14" spans="1:17" x14ac:dyDescent="0.25">
      <c r="B14" s="81" t="s">
        <v>187</v>
      </c>
      <c r="C14" s="211">
        <f>11649.503469717*('2022 IR Data Book'!$A$5)</f>
        <v>11649.503469716999</v>
      </c>
      <c r="D14" s="211">
        <f>7725.88673752908*('2022 IR Data Book'!$A$5)</f>
        <v>7725.8867375290802</v>
      </c>
      <c r="E14" s="211">
        <f>12316.8417705766*('2022 IR Data Book'!$A$5)</f>
        <v>12316.841770576601</v>
      </c>
      <c r="F14" s="211">
        <f>11485.7085158038*('2022 IR Data Book'!$A$5)</f>
        <v>11485.708515803801</v>
      </c>
      <c r="G14" s="211">
        <f>21571.2629559869*('2022 IR Data Book'!$A$5)</f>
        <v>21571.262955986898</v>
      </c>
      <c r="H14" s="211">
        <f>24721.107975711*('2022 IR Data Book'!$A$5)</f>
        <v>24721.107975710998</v>
      </c>
      <c r="I14" s="211">
        <f>31379.0339348859*('2022 IR Data Book'!$A$5)</f>
        <v>31379.033934885902</v>
      </c>
      <c r="J14" s="211">
        <f>(I14-E14)</f>
        <v>19062.192164309301</v>
      </c>
      <c r="K14" s="212">
        <f>J14/E14</f>
        <v>1.5476525979124374</v>
      </c>
      <c r="L14" s="211">
        <f>(H14+G14+I14)-(D14+C14+E14)</f>
        <v>45979.17288876111</v>
      </c>
      <c r="M14" s="212">
        <f>L14/(D14+C14+E14)</f>
        <v>1.450802610587226</v>
      </c>
    </row>
    <row r="15" spans="1:17" x14ac:dyDescent="0.25">
      <c r="B15" s="71" t="s">
        <v>188</v>
      </c>
      <c r="C15" s="208">
        <f>C14/C7</f>
        <v>4.0410296225127075E-2</v>
      </c>
      <c r="D15" s="208">
        <f t="shared" ref="D15:H15" si="6">D14/D7</f>
        <v>2.3511889674554518E-2</v>
      </c>
      <c r="E15" s="208">
        <f t="shared" si="6"/>
        <v>3.873221218130922E-2</v>
      </c>
      <c r="F15" s="208">
        <f t="shared" si="6"/>
        <v>2.9399573586371568E-2</v>
      </c>
      <c r="G15" s="208">
        <f t="shared" si="6"/>
        <v>5.5150757734800389E-2</v>
      </c>
      <c r="H15" s="208">
        <f t="shared" si="6"/>
        <v>5.7170520021632254E-2</v>
      </c>
      <c r="I15" s="208">
        <f t="shared" ref="I15" si="7">I14/I7</f>
        <v>7.13922569297014E-2</v>
      </c>
      <c r="J15" s="208"/>
      <c r="K15" s="208"/>
      <c r="L15" s="208"/>
      <c r="M15" s="208"/>
    </row>
    <row r="17" spans="2:9" x14ac:dyDescent="0.25">
      <c r="B17" s="80" t="s">
        <v>189</v>
      </c>
      <c r="G17" s="28"/>
    </row>
    <row r="18" spans="2:9" x14ac:dyDescent="0.25">
      <c r="B18" s="80"/>
      <c r="C18" s="76" t="s">
        <v>23</v>
      </c>
      <c r="D18" s="76" t="s">
        <v>24</v>
      </c>
      <c r="E18" s="76" t="s">
        <v>25</v>
      </c>
      <c r="F18" s="76" t="s">
        <v>26</v>
      </c>
      <c r="G18" s="76" t="s">
        <v>28</v>
      </c>
      <c r="H18" s="76" t="s">
        <v>29</v>
      </c>
      <c r="I18" s="76" t="s">
        <v>283</v>
      </c>
    </row>
    <row r="19" spans="2:9" ht="12.75" x14ac:dyDescent="0.2">
      <c r="B19" s="248" t="s">
        <v>204</v>
      </c>
      <c r="C19" s="226">
        <v>5951</v>
      </c>
      <c r="D19" s="246">
        <v>5937</v>
      </c>
      <c r="E19" s="246">
        <v>6294</v>
      </c>
      <c r="F19" s="246">
        <v>7680</v>
      </c>
      <c r="G19" s="246">
        <v>7271</v>
      </c>
      <c r="H19" s="247">
        <v>6794</v>
      </c>
      <c r="I19" s="247">
        <v>7355</v>
      </c>
    </row>
    <row r="20" spans="2:9" ht="12.75" x14ac:dyDescent="0.2">
      <c r="B20" s="248" t="s">
        <v>205</v>
      </c>
      <c r="C20" s="226">
        <v>34763989.210000053</v>
      </c>
      <c r="D20" s="246">
        <v>37260459.126000009</v>
      </c>
      <c r="E20" s="246">
        <v>39762128.206000052</v>
      </c>
      <c r="F20" s="246">
        <v>40009071.34800002</v>
      </c>
      <c r="G20" s="246">
        <v>36921430</v>
      </c>
      <c r="H20" s="247">
        <v>39173304</v>
      </c>
      <c r="I20" s="247">
        <v>38523420</v>
      </c>
    </row>
    <row r="21" spans="2:9" ht="12.75" x14ac:dyDescent="0.2">
      <c r="B21" s="248" t="s">
        <v>206</v>
      </c>
      <c r="C21" s="246">
        <v>9007.6500000000015</v>
      </c>
      <c r="D21" s="246">
        <v>9298.0000000000018</v>
      </c>
      <c r="E21" s="246">
        <v>8662.9500000000007</v>
      </c>
      <c r="F21" s="246">
        <v>7814.7999999999993</v>
      </c>
      <c r="G21" s="246">
        <v>8142</v>
      </c>
      <c r="H21" s="247">
        <v>6833</v>
      </c>
      <c r="I21" s="247">
        <v>7766</v>
      </c>
    </row>
    <row r="22" spans="2:9" ht="12.75" x14ac:dyDescent="0.2">
      <c r="B22" s="248" t="s">
        <v>207</v>
      </c>
      <c r="C22" s="246">
        <v>13124.366</v>
      </c>
      <c r="D22" s="246">
        <v>7500.2289999999994</v>
      </c>
      <c r="E22" s="246">
        <v>8441.005000000001</v>
      </c>
      <c r="F22" s="246">
        <v>9689.8050000000003</v>
      </c>
      <c r="G22" s="246">
        <v>5225</v>
      </c>
      <c r="H22" s="247">
        <v>4033</v>
      </c>
      <c r="I22" s="247">
        <v>4759</v>
      </c>
    </row>
    <row r="23" spans="2:9" ht="12.75" x14ac:dyDescent="0.2">
      <c r="B23" s="248" t="s">
        <v>208</v>
      </c>
      <c r="C23" s="246">
        <v>11113174.231000002</v>
      </c>
      <c r="D23" s="246">
        <v>11376366.989000002</v>
      </c>
      <c r="E23" s="246">
        <v>12392469.461000001</v>
      </c>
      <c r="F23" s="246">
        <v>11950161.360000003</v>
      </c>
      <c r="G23" s="246">
        <v>12740840</v>
      </c>
      <c r="H23" s="247">
        <v>16432000</v>
      </c>
      <c r="I23" s="247">
        <v>11773193</v>
      </c>
    </row>
    <row r="24" spans="2:9" ht="12.75" x14ac:dyDescent="0.2">
      <c r="B24" s="178"/>
    </row>
    <row r="25" spans="2:9" ht="12.75" x14ac:dyDescent="0.2">
      <c r="B25" s="243" t="s">
        <v>312</v>
      </c>
    </row>
    <row r="28" spans="2:9" ht="12.75" x14ac:dyDescent="0.2">
      <c r="B28" s="197" t="s">
        <v>319</v>
      </c>
      <c r="C28" s="198"/>
      <c r="D28" s="198"/>
      <c r="E28" s="198"/>
      <c r="F28" s="198"/>
      <c r="G28" s="198"/>
      <c r="H28" s="198"/>
      <c r="I28" s="198"/>
    </row>
    <row r="29" spans="2:9" ht="12.75" x14ac:dyDescent="0.2">
      <c r="B29" s="20" t="s">
        <v>198</v>
      </c>
      <c r="C29" s="245">
        <v>0.15585014594991983</v>
      </c>
      <c r="D29" s="245">
        <v>0.14526281720540077</v>
      </c>
      <c r="E29" s="245">
        <v>-2.9198773946729043E-2</v>
      </c>
      <c r="F29" s="245">
        <v>0.33338594785722442</v>
      </c>
      <c r="G29" s="245">
        <v>0.2370911957079023</v>
      </c>
      <c r="H29" s="245">
        <v>0.27387375136178332</v>
      </c>
      <c r="I29" s="245">
        <v>0.29452951647405412</v>
      </c>
    </row>
    <row r="30" spans="2:9" ht="12.75" x14ac:dyDescent="0.2">
      <c r="B30" s="20" t="s">
        <v>316</v>
      </c>
      <c r="C30" s="245">
        <v>-9.3822470364517255E-2</v>
      </c>
      <c r="D30" s="245">
        <v>0.24473669127895861</v>
      </c>
      <c r="E30" s="245">
        <v>0.13019892071181566</v>
      </c>
      <c r="F30" s="245">
        <v>0.61293956490381851</v>
      </c>
      <c r="G30" s="245">
        <v>0.61714696511871825</v>
      </c>
      <c r="H30" s="245">
        <v>0.38919764564359816</v>
      </c>
      <c r="I30" s="245">
        <v>0.57166612940408867</v>
      </c>
    </row>
    <row r="31" spans="2:9" ht="12.75" x14ac:dyDescent="0.2">
      <c r="B31" s="20" t="s">
        <v>199</v>
      </c>
      <c r="C31" s="245">
        <v>0.48599110357756375</v>
      </c>
      <c r="D31" s="245">
        <v>0.22699990353761734</v>
      </c>
      <c r="E31" s="245">
        <v>0.19134989739733096</v>
      </c>
      <c r="F31" s="245">
        <v>-8.1555230209199615E-3</v>
      </c>
      <c r="G31" s="245">
        <v>0.62035001089809916</v>
      </c>
      <c r="H31" s="245">
        <v>0.2558193501834638</v>
      </c>
      <c r="I31" s="245">
        <v>0.21617350040935646</v>
      </c>
    </row>
    <row r="32" spans="2:9" ht="12.75" x14ac:dyDescent="0.2">
      <c r="B32" s="20" t="s">
        <v>200</v>
      </c>
      <c r="C32" s="245">
        <v>0.38587758322983479</v>
      </c>
      <c r="D32" s="245">
        <v>2.8249879233841108E-2</v>
      </c>
      <c r="E32" s="245">
        <v>0.37505231019287716</v>
      </c>
      <c r="F32" s="245">
        <v>0.11845550723077536</v>
      </c>
      <c r="G32" s="245">
        <v>-1.347067830627373E-2</v>
      </c>
      <c r="H32" s="245">
        <v>3.1369886432068277E-2</v>
      </c>
      <c r="I32" s="245">
        <v>1.0355710411474933E-2</v>
      </c>
    </row>
    <row r="33" spans="2:9" ht="12.75" x14ac:dyDescent="0.2">
      <c r="B33" s="20" t="s">
        <v>201</v>
      </c>
      <c r="C33" s="245">
        <v>0.55049819658092358</v>
      </c>
      <c r="D33" s="245">
        <v>1.2511397214501936E-2</v>
      </c>
      <c r="E33" s="245">
        <v>1.3258944669880601</v>
      </c>
      <c r="F33" s="245">
        <v>1.2233697987795404</v>
      </c>
      <c r="G33" s="245">
        <v>0.85207391067805527</v>
      </c>
      <c r="H33" s="245">
        <v>1.6925417859472704</v>
      </c>
      <c r="I33" s="245">
        <v>0.72407684170156195</v>
      </c>
    </row>
    <row r="34" spans="2:9" ht="12.75" x14ac:dyDescent="0.2">
      <c r="B34" s="20" t="s">
        <v>317</v>
      </c>
      <c r="C34" s="245">
        <v>-0.21811821087864877</v>
      </c>
      <c r="D34" s="245">
        <v>-0.39367574614663692</v>
      </c>
      <c r="E34" s="245">
        <v>-0.27742975088157307</v>
      </c>
      <c r="F34" s="245">
        <v>-8.7021103008562334E-2</v>
      </c>
      <c r="G34" s="245">
        <v>0.14283019762075699</v>
      </c>
      <c r="H34" s="245">
        <v>2.8646537251736519</v>
      </c>
      <c r="I34" s="245">
        <v>1.4522753771804844</v>
      </c>
    </row>
    <row r="35" spans="2:9" ht="12.75" x14ac:dyDescent="0.2">
      <c r="B35" s="20" t="s">
        <v>318</v>
      </c>
      <c r="C35" s="245">
        <v>0.6014692289567598</v>
      </c>
      <c r="D35" s="245">
        <v>-9.9783000920085782E-2</v>
      </c>
      <c r="E35" s="245">
        <v>0.14620061372138723</v>
      </c>
      <c r="F35" s="245">
        <v>0.56513228396085269</v>
      </c>
      <c r="G35" s="245">
        <v>3.9136548405105671E-2</v>
      </c>
      <c r="H35" s="245">
        <v>0.27563145700811015</v>
      </c>
      <c r="I35" s="245">
        <v>0.41777991499581757</v>
      </c>
    </row>
    <row r="36" spans="2:9" ht="12.75" x14ac:dyDescent="0.2">
      <c r="B36" s="20" t="s">
        <v>202</v>
      </c>
      <c r="C36" s="245" t="s">
        <v>320</v>
      </c>
      <c r="D36" s="245" t="s">
        <v>320</v>
      </c>
      <c r="E36" s="245" t="s">
        <v>320</v>
      </c>
      <c r="F36" s="245" t="s">
        <v>320</v>
      </c>
      <c r="G36" s="245" t="s">
        <v>320</v>
      </c>
      <c r="H36" s="245" t="s">
        <v>320</v>
      </c>
      <c r="I36" s="245" t="s">
        <v>320</v>
      </c>
    </row>
    <row r="37" spans="2:9" ht="12.75" x14ac:dyDescent="0.2">
      <c r="B37" s="20" t="s">
        <v>321</v>
      </c>
      <c r="C37" s="245">
        <v>-1</v>
      </c>
      <c r="D37" s="245" t="s">
        <v>320</v>
      </c>
      <c r="E37" s="245">
        <v>-1</v>
      </c>
      <c r="F37" s="245">
        <v>-1</v>
      </c>
      <c r="G37" s="245" t="s">
        <v>320</v>
      </c>
      <c r="H37" s="245" t="s">
        <v>320</v>
      </c>
      <c r="I37" s="245" t="s">
        <v>320</v>
      </c>
    </row>
  </sheetData>
  <mergeCells count="2">
    <mergeCell ref="J4:K4"/>
    <mergeCell ref="L4:M4"/>
  </mergeCells>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755B9-69DF-4BD5-9234-10549B0E832D}">
  <dimension ref="A1:V28"/>
  <sheetViews>
    <sheetView showGridLines="0" workbookViewId="0">
      <pane xSplit="2" ySplit="6" topLeftCell="J7" activePane="bottomRight" state="frozen"/>
      <selection pane="topRight" activeCell="P28" sqref="P28"/>
      <selection pane="bottomLeft" activeCell="P28" sqref="P28"/>
      <selection pane="bottomRight" activeCell="S19" sqref="S19"/>
    </sheetView>
  </sheetViews>
  <sheetFormatPr defaultRowHeight="12.75" x14ac:dyDescent="0.2"/>
  <cols>
    <col min="1" max="1" width="9.140625" style="20"/>
    <col min="2" max="2" width="24.85546875" style="20" bestFit="1" customWidth="1"/>
    <col min="3" max="3" width="18.140625" style="20" customWidth="1"/>
    <col min="4" max="6" width="13.28515625" style="20" bestFit="1" customWidth="1"/>
    <col min="7" max="7" width="12.140625" style="20" customWidth="1"/>
    <col min="8" max="9" width="12.7109375" style="20" bestFit="1" customWidth="1"/>
    <col min="10" max="10" width="13.28515625" style="20" customWidth="1"/>
    <col min="11" max="11" width="9.140625" style="20"/>
    <col min="12" max="12" width="14.5703125" style="20" customWidth="1"/>
    <col min="13" max="15" width="9.140625" style="20"/>
    <col min="16" max="16" width="2.140625" style="20" customWidth="1"/>
    <col min="17" max="17" width="15.5703125" style="20" customWidth="1"/>
    <col min="18" max="18" width="16.5703125" style="20" customWidth="1"/>
    <col min="19" max="19" width="9.140625" style="20"/>
    <col min="20" max="20" width="12.85546875" style="20" bestFit="1" customWidth="1"/>
    <col min="21" max="16384" width="9.140625" style="20"/>
  </cols>
  <sheetData>
    <row r="1" spans="1:22" x14ac:dyDescent="0.2">
      <c r="A1" s="180">
        <f>'2022 IR Data Book'!$A$5</f>
        <v>1</v>
      </c>
    </row>
    <row r="2" spans="1:22" x14ac:dyDescent="0.2">
      <c r="A2" s="180"/>
      <c r="O2" s="163"/>
    </row>
    <row r="3" spans="1:22" ht="15" x14ac:dyDescent="0.25">
      <c r="B3" s="71"/>
      <c r="O3" s="163"/>
    </row>
    <row r="4" spans="1:22" ht="12.75" customHeight="1" x14ac:dyDescent="0.2">
      <c r="B4" s="73" t="s">
        <v>21</v>
      </c>
      <c r="C4" s="73"/>
      <c r="D4" s="74"/>
      <c r="E4" s="73"/>
      <c r="F4" s="73"/>
      <c r="G4" s="73"/>
      <c r="H4" s="74"/>
      <c r="I4" s="74"/>
      <c r="J4" s="253" t="s">
        <v>22</v>
      </c>
      <c r="K4" s="253"/>
      <c r="L4" s="253" t="s">
        <v>22</v>
      </c>
      <c r="M4" s="253"/>
      <c r="O4" s="163"/>
      <c r="Q4" s="253" t="s">
        <v>313</v>
      </c>
      <c r="R4" s="253"/>
      <c r="S4" s="74"/>
      <c r="T4" s="253" t="s">
        <v>22</v>
      </c>
      <c r="U4" s="253"/>
      <c r="V4" s="72"/>
    </row>
    <row r="5" spans="1:22" x14ac:dyDescent="0.2">
      <c r="B5" s="141"/>
      <c r="C5" s="76" t="s">
        <v>23</v>
      </c>
      <c r="D5" s="76" t="s">
        <v>24</v>
      </c>
      <c r="E5" s="76" t="s">
        <v>25</v>
      </c>
      <c r="F5" s="76" t="s">
        <v>26</v>
      </c>
      <c r="G5" s="76" t="s">
        <v>28</v>
      </c>
      <c r="H5" s="76" t="s">
        <v>29</v>
      </c>
      <c r="I5" s="76" t="s">
        <v>283</v>
      </c>
      <c r="J5" s="76" t="str">
        <f>+'Aramex Courier'!J5</f>
        <v>Q3 22 vs Q3 21</v>
      </c>
      <c r="K5" s="76" t="s">
        <v>30</v>
      </c>
      <c r="L5" s="76" t="str">
        <f>+'Aramex Courier'!L5</f>
        <v>Sep YTD 2022 vs Sep YTD 2021</v>
      </c>
      <c r="M5" s="76" t="s">
        <v>30</v>
      </c>
      <c r="O5" s="163"/>
      <c r="Q5" s="141"/>
      <c r="R5" s="244" t="s">
        <v>25</v>
      </c>
      <c r="S5" s="76" t="s">
        <v>283</v>
      </c>
      <c r="T5" s="76" t="s">
        <v>284</v>
      </c>
      <c r="U5" s="76" t="s">
        <v>30</v>
      </c>
    </row>
    <row r="6" spans="1:22" x14ac:dyDescent="0.2">
      <c r="B6" s="77"/>
      <c r="C6" s="77"/>
      <c r="D6" s="77"/>
      <c r="E6" s="77"/>
      <c r="F6" s="77"/>
      <c r="G6" s="77"/>
      <c r="H6" s="77"/>
      <c r="I6" s="77"/>
      <c r="J6" s="77"/>
      <c r="K6" s="77"/>
      <c r="L6" s="77"/>
      <c r="M6" s="77"/>
      <c r="N6" s="77"/>
      <c r="O6" s="163"/>
      <c r="U6" s="77"/>
    </row>
    <row r="7" spans="1:22" x14ac:dyDescent="0.2">
      <c r="B7" s="213" t="s">
        <v>178</v>
      </c>
      <c r="C7" s="202">
        <f>104585.74155785*('2022 IR Data Book'!$A$5)</f>
        <v>104585.74155784999</v>
      </c>
      <c r="D7" s="202">
        <f>108808.981524708*('2022 IR Data Book'!$A$5)</f>
        <v>108808.981524708</v>
      </c>
      <c r="E7" s="202">
        <f>108445.010175879*('2022 IR Data Book'!$A$5)</f>
        <v>108445.010175879</v>
      </c>
      <c r="F7" s="202">
        <f>113016.407797778*('2022 IR Data Book'!$A$5)</f>
        <v>113016.407797778</v>
      </c>
      <c r="G7" s="202">
        <f>112105.259668336*('2022 IR Data Book'!$A$5)</f>
        <v>112105.259668336</v>
      </c>
      <c r="H7" s="202">
        <f>111756.154186905*('2022 IR Data Book'!$A$5)</f>
        <v>111756.154186905</v>
      </c>
      <c r="I7" s="202">
        <f>110474.513920355*('2022 IR Data Book'!$A$5)</f>
        <v>110474.51392035501</v>
      </c>
      <c r="J7" s="203">
        <f>(I7-E7)</f>
        <v>2029.5037444760092</v>
      </c>
      <c r="K7" s="204">
        <f>J7/E7</f>
        <v>1.8714588538324688E-2</v>
      </c>
      <c r="L7" s="203">
        <f>(H7+G7+I7)-(D7+C7+E7)</f>
        <v>12496.19451715902</v>
      </c>
      <c r="M7" s="204">
        <f>L7/(D7+C7+E7)</f>
        <v>3.8827382780374689E-2</v>
      </c>
      <c r="O7" s="163"/>
      <c r="Q7" s="213" t="s">
        <v>178</v>
      </c>
      <c r="R7" s="202">
        <f>E7</f>
        <v>108445.010175879</v>
      </c>
      <c r="S7" s="202">
        <f>I7+800*('2022 IR Data Book'!$A$5)</f>
        <v>111274.51392035501</v>
      </c>
      <c r="T7" s="203">
        <f>S7-R7</f>
        <v>2829.5037444760092</v>
      </c>
      <c r="U7" s="204">
        <f>T7/R7</f>
        <v>2.6091599234368136E-2</v>
      </c>
    </row>
    <row r="8" spans="1:22" x14ac:dyDescent="0.2">
      <c r="B8" s="214" t="s">
        <v>181</v>
      </c>
      <c r="C8" s="205">
        <f>86553.9529170147*('2022 IR Data Book'!$A$5)</f>
        <v>86553.9529170147</v>
      </c>
      <c r="D8" s="205">
        <f>101894.161962373*('2022 IR Data Book'!$A$5)</f>
        <v>101894.16196237299</v>
      </c>
      <c r="E8" s="205">
        <f>94777.1994902576*('2022 IR Data Book'!$A$5)</f>
        <v>94777.199490257597</v>
      </c>
      <c r="F8" s="205">
        <f>109150.046082504*('2022 IR Data Book'!$A$5)</f>
        <v>109150.04608250401</v>
      </c>
      <c r="G8" s="205">
        <f>98842.8369854852*('2022 IR Data Book'!$A$5)</f>
        <v>98842.836985485206</v>
      </c>
      <c r="H8" s="205">
        <f>83311.6154577578*('2022 IR Data Book'!$A$5)</f>
        <v>83311.615457757798</v>
      </c>
      <c r="I8" s="205">
        <f>101858.873435182*('2022 IR Data Book'!$A$5)</f>
        <v>101858.873435182</v>
      </c>
      <c r="J8" s="206">
        <f>(I8-E8)</f>
        <v>7081.6739449244051</v>
      </c>
      <c r="K8" s="207">
        <f>J8/E8</f>
        <v>7.471917278640787E-2</v>
      </c>
      <c r="L8" s="206">
        <f>(H8+G8+I8)-(D8+C8+E8)</f>
        <v>788.01150877971668</v>
      </c>
      <c r="M8" s="207">
        <f>L8/(D8+C8+E8)</f>
        <v>2.7822778148681327E-3</v>
      </c>
      <c r="O8" s="163"/>
      <c r="Q8" s="214" t="s">
        <v>181</v>
      </c>
      <c r="R8" s="205">
        <f>E8</f>
        <v>94777.199490257597</v>
      </c>
      <c r="S8" s="205">
        <f>I8-(7673+1370)*('2022 IR Data Book'!$A$5)</f>
        <v>92815.873435182002</v>
      </c>
      <c r="T8" s="206">
        <f t="shared" ref="T8:T14" si="0">S8-R8</f>
        <v>-1961.3260550755949</v>
      </c>
      <c r="U8" s="207">
        <f>T8/R8</f>
        <v>-2.0694070574191262E-2</v>
      </c>
    </row>
    <row r="9" spans="1:22" x14ac:dyDescent="0.2">
      <c r="B9" s="213" t="s">
        <v>182</v>
      </c>
      <c r="C9" s="202">
        <f t="shared" ref="C9:H9" si="1">C7-C8</f>
        <v>18031.788640835293</v>
      </c>
      <c r="D9" s="202">
        <f t="shared" si="1"/>
        <v>6914.8195623350039</v>
      </c>
      <c r="E9" s="202">
        <f t="shared" si="1"/>
        <v>13667.8106856214</v>
      </c>
      <c r="F9" s="202">
        <f t="shared" si="1"/>
        <v>3866.3617152739898</v>
      </c>
      <c r="G9" s="202">
        <f t="shared" si="1"/>
        <v>13262.422682850796</v>
      </c>
      <c r="H9" s="202">
        <f t="shared" si="1"/>
        <v>28444.5387291472</v>
      </c>
      <c r="I9" s="202">
        <f t="shared" ref="I9" si="2">I7-I8</f>
        <v>8615.640485173004</v>
      </c>
      <c r="J9" s="215">
        <f>(I9-E9)</f>
        <v>-5052.1702004483959</v>
      </c>
      <c r="K9" s="204">
        <f>J9/E9</f>
        <v>-0.36964004818732982</v>
      </c>
      <c r="L9" s="202">
        <f>(H9+G9+I9)-(D9+C9+E9)</f>
        <v>11708.183008379303</v>
      </c>
      <c r="M9" s="204">
        <f>L9/(D9+C9+E9)</f>
        <v>0.30320754125805954</v>
      </c>
      <c r="O9" s="163"/>
      <c r="Q9" s="213" t="s">
        <v>182</v>
      </c>
      <c r="R9" s="202">
        <f>R7-R8</f>
        <v>13667.8106856214</v>
      </c>
      <c r="S9" s="202">
        <f>S7-S8</f>
        <v>18458.640485173004</v>
      </c>
      <c r="T9" s="215">
        <f t="shared" si="0"/>
        <v>4790.8297995516041</v>
      </c>
      <c r="U9" s="204">
        <f>T9/R9</f>
        <v>0.3505191804120889</v>
      </c>
    </row>
    <row r="10" spans="1:22" x14ac:dyDescent="0.2">
      <c r="B10" s="216" t="s">
        <v>183</v>
      </c>
      <c r="C10" s="208">
        <f t="shared" ref="C10:H10" si="3">C9/C7</f>
        <v>0.17241153882206101</v>
      </c>
      <c r="D10" s="208">
        <f t="shared" si="3"/>
        <v>6.3550080751052784E-2</v>
      </c>
      <c r="E10" s="208">
        <f t="shared" si="3"/>
        <v>0.12603448202415751</v>
      </c>
      <c r="F10" s="208">
        <f t="shared" si="3"/>
        <v>3.4210622958324159E-2</v>
      </c>
      <c r="G10" s="208">
        <f t="shared" si="3"/>
        <v>0.11830330460932648</v>
      </c>
      <c r="H10" s="208">
        <f t="shared" si="3"/>
        <v>0.25452324246569485</v>
      </c>
      <c r="I10" s="208">
        <f t="shared" ref="I10" si="4">I9/I7</f>
        <v>7.7987584461193693E-2</v>
      </c>
      <c r="J10" s="208"/>
      <c r="K10" s="208"/>
      <c r="L10" s="208"/>
      <c r="M10" s="208"/>
      <c r="O10" s="163"/>
      <c r="Q10" s="216" t="s">
        <v>183</v>
      </c>
      <c r="R10" s="208">
        <f>R9/R7</f>
        <v>0.12603448202415751</v>
      </c>
      <c r="S10" s="208">
        <f>S9/S7</f>
        <v>0.16588381143938152</v>
      </c>
      <c r="T10" s="208"/>
      <c r="U10" s="208"/>
    </row>
    <row r="11" spans="1:22" x14ac:dyDescent="0.2">
      <c r="B11" s="217" t="s">
        <v>184</v>
      </c>
      <c r="C11" s="209">
        <f>14151.3708617567*('2022 IR Data Book'!$A$5)</f>
        <v>14151.370861756701</v>
      </c>
      <c r="D11" s="209">
        <f>12503.673217457*('2022 IR Data Book'!$A$5)</f>
        <v>12503.673217457001</v>
      </c>
      <c r="E11" s="209">
        <f>13033.4885961757*('2022 IR Data Book'!$A$5)</f>
        <v>13033.488596175701</v>
      </c>
      <c r="F11" s="209">
        <f>13509.6886457742*('2022 IR Data Book'!$A$5)</f>
        <v>13509.6886457742</v>
      </c>
      <c r="G11" s="209">
        <f>12488.2822726158*('2022 IR Data Book'!$A$5)</f>
        <v>12488.282272615799</v>
      </c>
      <c r="H11" s="209">
        <f>17395.7046626744*('2022 IR Data Book'!$A$5)</f>
        <v>17395.704662674401</v>
      </c>
      <c r="I11" s="209">
        <f>14720.6013629062*('2022 IR Data Book'!$A$5)</f>
        <v>14720.6013629062</v>
      </c>
      <c r="J11" s="210">
        <f>(I11-E11)</f>
        <v>1687.1127667304991</v>
      </c>
      <c r="K11" s="207">
        <f>J11/E11</f>
        <v>0.12944445029288118</v>
      </c>
      <c r="L11" s="210">
        <f>(H11+G11+I11)-(D11+C11+E11)</f>
        <v>4916.0556228069981</v>
      </c>
      <c r="M11" s="207">
        <f>L11/(D11+C11+E11)</f>
        <v>0.12386589504366866</v>
      </c>
      <c r="O11" s="163"/>
      <c r="Q11" s="217" t="s">
        <v>184</v>
      </c>
      <c r="R11" s="209">
        <f>E11</f>
        <v>13033.488596175701</v>
      </c>
      <c r="S11" s="209">
        <f>I11</f>
        <v>14720.6013629062</v>
      </c>
      <c r="T11" s="210">
        <f t="shared" si="0"/>
        <v>1687.1127667304991</v>
      </c>
      <c r="U11" s="207">
        <f>T11/R11</f>
        <v>0.12944445029288118</v>
      </c>
    </row>
    <row r="12" spans="1:22" x14ac:dyDescent="0.2">
      <c r="B12" s="218" t="s">
        <v>185</v>
      </c>
      <c r="C12" s="211">
        <f>5702.3992194531*('2022 IR Data Book'!$A$5)</f>
        <v>5702.3992194531002</v>
      </c>
      <c r="D12" s="211">
        <f>-5088.39048845237*('2022 IR Data Book'!$A$5)</f>
        <v>-5088.3904884523699</v>
      </c>
      <c r="E12" s="211">
        <f>5816.40331765882*('2022 IR Data Book'!$A$5)</f>
        <v>5816.40331765882</v>
      </c>
      <c r="F12" s="211">
        <f>15863.6146362646*('2022 IR Data Book'!$A$5)</f>
        <v>15863.6146362646</v>
      </c>
      <c r="G12" s="211">
        <f>5884.6276069966*('2022 IR Data Book'!$A$5)</f>
        <v>5884.6276069965998</v>
      </c>
      <c r="H12" s="211">
        <f>5179.84324275896*('2022 IR Data Book'!$A$5)</f>
        <v>5179.8432427589596</v>
      </c>
      <c r="I12" s="211">
        <f>-6206.96170339434*('2022 IR Data Book'!$A$5)</f>
        <v>-6206.9617033943396</v>
      </c>
      <c r="J12" s="211">
        <f>(I12-E12)</f>
        <v>-12023.36502105316</v>
      </c>
      <c r="K12" s="212">
        <f>J12/E12</f>
        <v>-2.0671477482570317</v>
      </c>
      <c r="L12" s="211">
        <f>(H12+G12+I12)-(D12+C12+E12)</f>
        <v>-1572.9029022983314</v>
      </c>
      <c r="M12" s="212">
        <f>L12/(D12+C12+E12)</f>
        <v>-0.24460375017899674</v>
      </c>
      <c r="O12" s="163"/>
      <c r="Q12" s="218" t="s">
        <v>185</v>
      </c>
      <c r="R12" s="211">
        <f>E12+-6611*('2022 IR Data Book'!$A$5)</f>
        <v>-794.59668234117999</v>
      </c>
      <c r="S12" s="211">
        <f>I12+9842*('2022 IR Data Book'!$A$5)</f>
        <v>3635.0382966056604</v>
      </c>
      <c r="T12" s="211">
        <f t="shared" si="0"/>
        <v>4429.6349789468404</v>
      </c>
      <c r="U12" s="212">
        <f>-T12/R12</f>
        <v>5.5746960406321779</v>
      </c>
    </row>
    <row r="13" spans="1:22" x14ac:dyDescent="0.2">
      <c r="B13" s="219" t="s">
        <v>186</v>
      </c>
      <c r="C13" s="208">
        <f t="shared" ref="C13:H13" si="5">C12/C7</f>
        <v>5.4523677267220079E-2</v>
      </c>
      <c r="D13" s="208">
        <f t="shared" si="5"/>
        <v>-4.6764434490152031E-2</v>
      </c>
      <c r="E13" s="208">
        <f t="shared" si="5"/>
        <v>5.3634586858589649E-2</v>
      </c>
      <c r="F13" s="208">
        <f t="shared" si="5"/>
        <v>0.14036558890324677</v>
      </c>
      <c r="G13" s="208">
        <f t="shared" si="5"/>
        <v>5.2491984982741234E-2</v>
      </c>
      <c r="H13" s="208">
        <f t="shared" si="5"/>
        <v>4.634951229706781E-2</v>
      </c>
      <c r="I13" s="208">
        <f t="shared" ref="I13" si="6">I12/I7</f>
        <v>-5.6184557714996225E-2</v>
      </c>
      <c r="J13" s="208"/>
      <c r="K13" s="208"/>
      <c r="L13" s="208"/>
      <c r="M13" s="208"/>
      <c r="O13" s="163"/>
      <c r="Q13" s="219" t="s">
        <v>186</v>
      </c>
      <c r="R13" s="208">
        <f>R12/R7</f>
        <v>-7.3271852808394038E-3</v>
      </c>
      <c r="S13" s="208">
        <f>S12/S7</f>
        <v>3.2667303307273465E-2</v>
      </c>
      <c r="T13" s="208"/>
      <c r="U13" s="208"/>
    </row>
    <row r="14" spans="1:22" x14ac:dyDescent="0.2">
      <c r="B14" s="218" t="s">
        <v>187</v>
      </c>
      <c r="C14" s="211">
        <f>25987.4230939523*('2022 IR Data Book'!$A$5)</f>
        <v>25987.4230939523</v>
      </c>
      <c r="D14" s="211">
        <f>17185.0201260158*('2022 IR Data Book'!$A$5)</f>
        <v>17185.020126015799</v>
      </c>
      <c r="E14" s="211">
        <f>28918.9802275479*('2022 IR Data Book'!$A$5)</f>
        <v>28918.980227547901</v>
      </c>
      <c r="F14" s="211">
        <f>38202.3772115573*('2022 IR Data Book'!$A$5)</f>
        <v>38202.377211557301</v>
      </c>
      <c r="G14" s="211">
        <f>28854.0524476527*('2022 IR Data Book'!$A$5)</f>
        <v>28854.052447652699</v>
      </c>
      <c r="H14" s="211">
        <f>26975.4387801771*('2022 IR Data Book'!$A$5)</f>
        <v>26975.438780177101</v>
      </c>
      <c r="I14" s="211">
        <f>14985.8032363457*('2022 IR Data Book'!$A$5)</f>
        <v>14985.8032363457</v>
      </c>
      <c r="J14" s="211">
        <f>(I14-E14)</f>
        <v>-13933.176991202201</v>
      </c>
      <c r="K14" s="212">
        <f>J14/E14</f>
        <v>-0.4818004259337475</v>
      </c>
      <c r="L14" s="211">
        <f>(H14+G14+I14)-(D14+C14+E14)</f>
        <v>-1276.1289833405026</v>
      </c>
      <c r="M14" s="212">
        <f>L14/(D14+C14+E14)</f>
        <v>-1.7701536775307954E-2</v>
      </c>
      <c r="O14" s="163"/>
      <c r="Q14" s="218" t="s">
        <v>187</v>
      </c>
      <c r="R14" s="211">
        <f>E14+-6611*('2022 IR Data Book'!$A$5)</f>
        <v>22307.980227547901</v>
      </c>
      <c r="S14" s="211">
        <f>I14+9842*('2022 IR Data Book'!$A$5)</f>
        <v>24827.803236345702</v>
      </c>
      <c r="T14" s="211">
        <f t="shared" si="0"/>
        <v>2519.8230087978009</v>
      </c>
      <c r="U14" s="212">
        <f>T14/R14</f>
        <v>0.11295612525629266</v>
      </c>
    </row>
    <row r="15" spans="1:22" x14ac:dyDescent="0.2">
      <c r="B15" s="219" t="s">
        <v>188</v>
      </c>
      <c r="C15" s="208">
        <f t="shared" ref="C15:H15" si="7">C14/C7</f>
        <v>0.24847959871831818</v>
      </c>
      <c r="D15" s="208">
        <f t="shared" si="7"/>
        <v>0.1579375147640131</v>
      </c>
      <c r="E15" s="208">
        <f t="shared" si="7"/>
        <v>0.26666953307161234</v>
      </c>
      <c r="F15" s="208">
        <f t="shared" si="7"/>
        <v>0.33802505278625916</v>
      </c>
      <c r="G15" s="208">
        <f t="shared" si="7"/>
        <v>0.25738357444617288</v>
      </c>
      <c r="H15" s="208">
        <f t="shared" si="7"/>
        <v>0.24137765813829287</v>
      </c>
      <c r="I15" s="208">
        <f t="shared" ref="I15" si="8">I14/I7</f>
        <v>0.13564941545838796</v>
      </c>
      <c r="O15" s="163"/>
      <c r="Q15" s="219" t="s">
        <v>188</v>
      </c>
      <c r="R15" s="208">
        <f>R14/R7</f>
        <v>0.20570776093218329</v>
      </c>
      <c r="S15" s="208">
        <f>S14/S7</f>
        <v>0.2231221001254273</v>
      </c>
    </row>
    <row r="16" spans="1:22" x14ac:dyDescent="0.2">
      <c r="O16" s="163"/>
    </row>
    <row r="17" spans="2:21" ht="12.75" customHeight="1" x14ac:dyDescent="0.2">
      <c r="Q17" s="254" t="s">
        <v>314</v>
      </c>
      <c r="R17" s="254"/>
      <c r="S17" s="254"/>
      <c r="T17" s="254"/>
      <c r="U17" s="254"/>
    </row>
    <row r="19" spans="2:21" x14ac:dyDescent="0.2">
      <c r="B19" s="197" t="s">
        <v>319</v>
      </c>
      <c r="C19" s="198"/>
      <c r="D19" s="198"/>
      <c r="E19" s="198"/>
      <c r="F19" s="198"/>
      <c r="G19" s="198"/>
      <c r="H19" s="198"/>
      <c r="I19" s="198"/>
    </row>
    <row r="20" spans="2:21" x14ac:dyDescent="0.2">
      <c r="B20" s="20" t="s">
        <v>198</v>
      </c>
      <c r="C20" s="245">
        <v>-0.13196338711442324</v>
      </c>
      <c r="D20" s="245">
        <v>-1.9343492343418219E-3</v>
      </c>
      <c r="E20" s="245">
        <v>3.9608335398895071E-2</v>
      </c>
      <c r="F20" s="245">
        <v>7.9053017405667475E-2</v>
      </c>
      <c r="G20" s="245">
        <v>9.886838326695678E-2</v>
      </c>
      <c r="H20" s="245">
        <v>2.4528868940129744E-3</v>
      </c>
      <c r="I20" s="245">
        <v>-0.11920094570333667</v>
      </c>
    </row>
    <row r="21" spans="2:21" x14ac:dyDescent="0.2">
      <c r="B21" s="20" t="s">
        <v>316</v>
      </c>
      <c r="C21" s="245">
        <v>0.28858975521271113</v>
      </c>
      <c r="D21" s="245">
        <v>9.6716719806261273E-2</v>
      </c>
      <c r="E21" s="245">
        <v>0.37559028885194357</v>
      </c>
      <c r="F21" s="245">
        <v>0.28339755505550801</v>
      </c>
      <c r="G21" s="245">
        <v>0.13180470459836111</v>
      </c>
      <c r="H21" s="245">
        <v>5.2698272173471769E-2</v>
      </c>
      <c r="I21" s="245">
        <v>5.9540427786495938E-2</v>
      </c>
    </row>
    <row r="22" spans="2:21" x14ac:dyDescent="0.2">
      <c r="B22" s="20" t="s">
        <v>199</v>
      </c>
      <c r="C22" s="245">
        <v>2.3463770475325389E-2</v>
      </c>
      <c r="D22" s="245">
        <v>-0.11798727792868617</v>
      </c>
      <c r="E22" s="245">
        <v>6.992362024776011E-2</v>
      </c>
      <c r="F22" s="245">
        <v>2.8424477174823357E-2</v>
      </c>
      <c r="G22" s="245">
        <v>-6.1047451551570202E-2</v>
      </c>
      <c r="H22" s="245">
        <v>0.11380359713645105</v>
      </c>
      <c r="I22" s="245">
        <v>4.0941369384066915E-2</v>
      </c>
    </row>
    <row r="23" spans="2:21" x14ac:dyDescent="0.2">
      <c r="B23" s="20" t="s">
        <v>200</v>
      </c>
      <c r="C23" s="245">
        <v>0.15191887250696318</v>
      </c>
      <c r="D23" s="245">
        <v>-6.3690187624162703E-2</v>
      </c>
      <c r="E23" s="245">
        <v>-0.21555364088008858</v>
      </c>
      <c r="F23" s="245">
        <v>-0.29011152704179582</v>
      </c>
      <c r="G23" s="245">
        <v>-0.2371905324356294</v>
      </c>
      <c r="H23" s="245">
        <v>-0.11986152263906845</v>
      </c>
      <c r="I23" s="245">
        <v>-3.7122316244730121E-2</v>
      </c>
    </row>
    <row r="24" spans="2:21" x14ac:dyDescent="0.2">
      <c r="B24" s="20" t="s">
        <v>201</v>
      </c>
      <c r="C24" s="245" t="s">
        <v>320</v>
      </c>
      <c r="D24" s="245" t="s">
        <v>320</v>
      </c>
      <c r="E24" s="245" t="s">
        <v>320</v>
      </c>
      <c r="F24" s="245" t="s">
        <v>320</v>
      </c>
      <c r="G24" s="245" t="s">
        <v>320</v>
      </c>
      <c r="H24" s="245" t="s">
        <v>320</v>
      </c>
      <c r="I24" s="245" t="s">
        <v>320</v>
      </c>
    </row>
    <row r="25" spans="2:21" x14ac:dyDescent="0.2">
      <c r="B25" s="20" t="s">
        <v>317</v>
      </c>
      <c r="C25" s="245">
        <v>0.11601488969405929</v>
      </c>
      <c r="D25" s="245">
        <v>-0.19669760120120766</v>
      </c>
      <c r="E25" s="245">
        <v>-0.50679948239394434</v>
      </c>
      <c r="F25" s="245">
        <v>-0.57554948688441754</v>
      </c>
      <c r="G25" s="245">
        <v>1.215313120491095</v>
      </c>
      <c r="H25" s="245">
        <v>2.3980999910798264</v>
      </c>
      <c r="I25" s="245">
        <v>5.7914528645229053</v>
      </c>
    </row>
    <row r="26" spans="2:21" x14ac:dyDescent="0.2">
      <c r="B26" s="20" t="s">
        <v>318</v>
      </c>
      <c r="C26" s="245">
        <v>2.9582469085706452E-2</v>
      </c>
      <c r="D26" s="245">
        <v>4.4659886149144588E-2</v>
      </c>
      <c r="E26" s="245">
        <v>-5.5697299893614882E-2</v>
      </c>
      <c r="F26" s="245">
        <v>0.17304012746427644</v>
      </c>
      <c r="G26" s="245">
        <v>9.7743593850172547E-2</v>
      </c>
      <c r="H26" s="245">
        <v>0.13165035694468302</v>
      </c>
      <c r="I26" s="245">
        <v>0.49050507208311822</v>
      </c>
    </row>
    <row r="27" spans="2:21" x14ac:dyDescent="0.2">
      <c r="B27" s="20" t="s">
        <v>202</v>
      </c>
      <c r="C27" s="245" t="s">
        <v>320</v>
      </c>
      <c r="D27" s="245" t="s">
        <v>320</v>
      </c>
      <c r="E27" s="245" t="s">
        <v>320</v>
      </c>
      <c r="F27" s="245" t="s">
        <v>320</v>
      </c>
      <c r="G27" s="245" t="s">
        <v>320</v>
      </c>
      <c r="H27" s="245" t="s">
        <v>320</v>
      </c>
      <c r="I27" s="245" t="s">
        <v>320</v>
      </c>
    </row>
    <row r="28" spans="2:21" x14ac:dyDescent="0.2">
      <c r="B28" s="20" t="s">
        <v>321</v>
      </c>
      <c r="C28" s="245" t="s">
        <v>320</v>
      </c>
      <c r="D28" s="245" t="s">
        <v>320</v>
      </c>
      <c r="E28" s="245" t="s">
        <v>320</v>
      </c>
      <c r="F28" s="245" t="s">
        <v>320</v>
      </c>
      <c r="G28" s="245" t="s">
        <v>320</v>
      </c>
      <c r="H28" s="245" t="s">
        <v>320</v>
      </c>
      <c r="I28" s="245" t="s">
        <v>320</v>
      </c>
    </row>
  </sheetData>
  <mergeCells count="5">
    <mergeCell ref="Q17:U17"/>
    <mergeCell ref="J4:K4"/>
    <mergeCell ref="L4:M4"/>
    <mergeCell ref="T4:U4"/>
    <mergeCell ref="Q4:R4"/>
  </mergeCells>
  <pageMargins left="0.7" right="0.7" top="0.75" bottom="0.75" header="0.3" footer="0.3"/>
  <pageSetup paperSize="9" orientation="portrait" r:id="rId1"/>
  <ignoredErrors>
    <ignoredError sqref="S13"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41D16-02DC-4DFE-AC93-0F17B5F0735F}">
  <dimension ref="A1:Q248"/>
  <sheetViews>
    <sheetView showGridLines="0" workbookViewId="0">
      <selection activeCell="F2" sqref="F2"/>
    </sheetView>
  </sheetViews>
  <sheetFormatPr defaultRowHeight="12.75" x14ac:dyDescent="0.2"/>
  <cols>
    <col min="1" max="1" width="3.28515625" style="20" customWidth="1"/>
    <col min="2" max="2" width="37.28515625" style="20" bestFit="1" customWidth="1"/>
    <col min="3" max="3" width="15" style="20" customWidth="1"/>
    <col min="4" max="4" width="8.5703125" style="20" bestFit="1" customWidth="1"/>
    <col min="5" max="5" width="13.5703125" style="20" bestFit="1" customWidth="1"/>
    <col min="6" max="6" width="17.42578125" style="20" bestFit="1" customWidth="1"/>
    <col min="7" max="7" width="10.5703125" style="28" bestFit="1" customWidth="1"/>
    <col min="8" max="8" width="10.5703125" style="20" bestFit="1" customWidth="1"/>
    <col min="9" max="10" width="9.28515625" style="20" bestFit="1" customWidth="1"/>
    <col min="11" max="11" width="37.28515625" style="20" bestFit="1" customWidth="1"/>
    <col min="12" max="12" width="13.5703125" style="20" bestFit="1" customWidth="1"/>
    <col min="13" max="13" width="5.28515625" style="20" bestFit="1" customWidth="1"/>
    <col min="14" max="14" width="13.5703125" style="20" bestFit="1" customWidth="1"/>
    <col min="15" max="15" width="11" style="20" bestFit="1" customWidth="1"/>
    <col min="16" max="16" width="10.5703125" style="28" bestFit="1" customWidth="1"/>
    <col min="17" max="17" width="11" style="20" bestFit="1" customWidth="1"/>
    <col min="18" max="16384" width="9.140625" style="20"/>
  </cols>
  <sheetData>
    <row r="1" spans="1:17" x14ac:dyDescent="0.2">
      <c r="A1" s="180">
        <f>'2022 IR Data Book'!$A$5</f>
        <v>1</v>
      </c>
    </row>
    <row r="2" spans="1:17" ht="18.75" x14ac:dyDescent="0.3">
      <c r="B2" s="142" t="s">
        <v>198</v>
      </c>
      <c r="C2" s="2"/>
      <c r="I2" s="163"/>
      <c r="K2" s="142" t="s">
        <v>198</v>
      </c>
    </row>
    <row r="3" spans="1:17" x14ac:dyDescent="0.2">
      <c r="B3" s="59" t="s">
        <v>287</v>
      </c>
      <c r="C3" s="20">
        <f>('2022 IR Data Book'!$A$5)</f>
        <v>1</v>
      </c>
      <c r="G3" s="231"/>
      <c r="I3" s="163"/>
      <c r="K3" s="59" t="s">
        <v>290</v>
      </c>
    </row>
    <row r="4" spans="1:17" x14ac:dyDescent="0.2">
      <c r="B4" s="51"/>
      <c r="I4" s="163"/>
      <c r="K4" s="51" t="s">
        <v>209</v>
      </c>
    </row>
    <row r="5" spans="1:17" x14ac:dyDescent="0.2">
      <c r="C5" s="161" t="s">
        <v>210</v>
      </c>
      <c r="D5" s="143"/>
      <c r="E5" s="161" t="s">
        <v>210</v>
      </c>
      <c r="I5" s="163"/>
      <c r="L5" s="161" t="s">
        <v>210</v>
      </c>
      <c r="M5" s="143"/>
      <c r="N5" s="161" t="s">
        <v>210</v>
      </c>
    </row>
    <row r="6" spans="1:17" x14ac:dyDescent="0.2">
      <c r="B6" s="144"/>
      <c r="C6" s="161" t="s">
        <v>285</v>
      </c>
      <c r="D6" s="143"/>
      <c r="E6" s="161" t="s">
        <v>69</v>
      </c>
      <c r="G6" s="188" t="s">
        <v>211</v>
      </c>
      <c r="H6" s="161" t="s">
        <v>30</v>
      </c>
      <c r="I6" s="163"/>
      <c r="K6" s="144"/>
      <c r="L6" s="161" t="s">
        <v>288</v>
      </c>
      <c r="M6" s="143"/>
      <c r="N6" s="161" t="s">
        <v>289</v>
      </c>
      <c r="P6" s="188" t="s">
        <v>211</v>
      </c>
      <c r="Q6" s="161" t="s">
        <v>30</v>
      </c>
    </row>
    <row r="7" spans="1:17" ht="6.75" customHeight="1" x14ac:dyDescent="0.2">
      <c r="H7" s="145"/>
      <c r="I7" s="163"/>
      <c r="Q7" s="145"/>
    </row>
    <row r="8" spans="1:17" x14ac:dyDescent="0.2">
      <c r="B8" s="20" t="s">
        <v>212</v>
      </c>
      <c r="C8" s="88">
        <f>46032.6265424852*(('2022 IR Data Book'!$A$5))</f>
        <v>46032.626542485203</v>
      </c>
      <c r="D8" s="146">
        <f>C8/$C$14</f>
        <v>0.23768318074972677</v>
      </c>
      <c r="E8" s="88">
        <f>58878.2951716781*(('2022 IR Data Book'!$A$5))</f>
        <v>58878.295171678103</v>
      </c>
      <c r="F8" s="146">
        <f>E8/$E$14</f>
        <v>0.28643769365929184</v>
      </c>
      <c r="G8" s="148">
        <f>C8-E8</f>
        <v>-12845.6686291929</v>
      </c>
      <c r="H8" s="147">
        <f>(C8/E8)-1</f>
        <v>-0.2181732434972401</v>
      </c>
      <c r="I8" s="163"/>
      <c r="K8" s="20" t="s">
        <v>212</v>
      </c>
      <c r="L8" s="88">
        <f>143944.631617249*(('2022 IR Data Book'!$A$5))</f>
        <v>143944.63161724899</v>
      </c>
      <c r="M8" s="146">
        <f>L8/$L$14</f>
        <v>0.24732838789745734</v>
      </c>
      <c r="N8" s="88">
        <f>178458.011743993*(('2022 IR Data Book'!$A$5))</f>
        <v>178458.011743993</v>
      </c>
      <c r="O8" s="146">
        <f>N8/$N$14</f>
        <v>0.30163516466445373</v>
      </c>
      <c r="P8" s="148">
        <f>L8-N8</f>
        <v>-34513.380126744014</v>
      </c>
      <c r="Q8" s="147">
        <f>(L8/N8)-1</f>
        <v>-0.19339776224928018</v>
      </c>
    </row>
    <row r="9" spans="1:17" x14ac:dyDescent="0.2">
      <c r="B9" s="20" t="s">
        <v>213</v>
      </c>
      <c r="C9" s="88">
        <f>41253.2123804407*(('2022 IR Data Book'!$A$5))</f>
        <v>41253.212380440702</v>
      </c>
      <c r="D9" s="146">
        <f>C9/$C$14</f>
        <v>0.21300532842021472</v>
      </c>
      <c r="E9" s="88">
        <f>54034.185373325*(('2022 IR Data Book'!$A$5))</f>
        <v>54034.185373325003</v>
      </c>
      <c r="F9" s="146">
        <f>E9/$E$14</f>
        <v>0.26287152832745192</v>
      </c>
      <c r="G9" s="148">
        <f t="shared" ref="G9:G12" si="0">C9-E9</f>
        <v>-12780.972992884301</v>
      </c>
      <c r="H9" s="147">
        <f>(C9/E9)-1</f>
        <v>-0.23653494365798045</v>
      </c>
      <c r="I9" s="163"/>
      <c r="K9" s="20" t="s">
        <v>213</v>
      </c>
      <c r="L9" s="88">
        <f>131285.087102272*(('2022 IR Data Book'!$A$5))</f>
        <v>131285.08710227199</v>
      </c>
      <c r="M9" s="146">
        <f t="shared" ref="M9:M12" si="1">L9/$L$14</f>
        <v>0.22557651913217466</v>
      </c>
      <c r="N9" s="88">
        <f>152465.880965122*(('2022 IR Data Book'!$A$5))</f>
        <v>152465.88096512199</v>
      </c>
      <c r="O9" s="146">
        <f t="shared" ref="O9:O12" si="2">N9/$N$14</f>
        <v>0.25770247388275969</v>
      </c>
      <c r="P9" s="148">
        <f t="shared" ref="P9:P12" si="3">L9-N9</f>
        <v>-21180.793862849998</v>
      </c>
      <c r="Q9" s="147">
        <f>(L9/N9)-1</f>
        <v>-0.138921532665366</v>
      </c>
    </row>
    <row r="10" spans="1:17" x14ac:dyDescent="0.2">
      <c r="B10" s="20" t="s">
        <v>214</v>
      </c>
      <c r="C10" s="88">
        <f>73786.9394229623*(('2022 IR Data Book'!$A$5))</f>
        <v>73786.939422962299</v>
      </c>
      <c r="D10" s="146">
        <f>C10/$C$14</f>
        <v>0.38098878506640727</v>
      </c>
      <c r="E10" s="88">
        <f>56999.039793189*(('2022 IR Data Book'!$A$5))</f>
        <v>56999.039793188997</v>
      </c>
      <c r="F10" s="146">
        <f>E10/$E$14</f>
        <v>0.27729528260880731</v>
      </c>
      <c r="G10" s="82">
        <f t="shared" si="0"/>
        <v>16787.899629773303</v>
      </c>
      <c r="H10" s="83">
        <f>(C10/E10)-1</f>
        <v>0.29452951647405379</v>
      </c>
      <c r="I10" s="163"/>
      <c r="K10" s="20" t="s">
        <v>214</v>
      </c>
      <c r="L10" s="88">
        <f>205908.796945169*(('2022 IR Data Book'!$A$5))</f>
        <v>205908.79694516899</v>
      </c>
      <c r="M10" s="146">
        <f t="shared" si="1"/>
        <v>0.35379638844586758</v>
      </c>
      <c r="N10" s="88">
        <f>162130.681446188*(('2022 IR Data Book'!$A$5))</f>
        <v>162130.68144618801</v>
      </c>
      <c r="O10" s="146">
        <f t="shared" si="2"/>
        <v>0.27403821390398947</v>
      </c>
      <c r="P10" s="82">
        <f t="shared" si="3"/>
        <v>43778.115498980973</v>
      </c>
      <c r="Q10" s="83">
        <f>(L10/N10)-1</f>
        <v>0.27001746435952123</v>
      </c>
    </row>
    <row r="11" spans="1:17" x14ac:dyDescent="0.2">
      <c r="B11" s="20" t="s">
        <v>215</v>
      </c>
      <c r="C11" s="88">
        <f>28428.7414782047*(('2022 IR Data Book'!$A$5))</f>
        <v>28428.741478204702</v>
      </c>
      <c r="D11" s="146">
        <f>C11/$C$14</f>
        <v>0.14678792427833914</v>
      </c>
      <c r="E11" s="88">
        <f>32276.0808376499*(('2022 IR Data Book'!$A$5))</f>
        <v>32276.080837649901</v>
      </c>
      <c r="F11" s="146">
        <f>E11/$E$14</f>
        <v>0.15702027595296975</v>
      </c>
      <c r="G11" s="148">
        <f t="shared" si="0"/>
        <v>-3847.3393594451991</v>
      </c>
      <c r="H11" s="147">
        <f>(C11/E11)-1</f>
        <v>-0.11920094570333628</v>
      </c>
      <c r="I11" s="163"/>
      <c r="K11" s="20" t="s">
        <v>215</v>
      </c>
      <c r="L11" s="88">
        <f>90906.1582285469*(('2022 IR Data Book'!$A$5))</f>
        <v>90906.158228546905</v>
      </c>
      <c r="M11" s="146">
        <f t="shared" si="1"/>
        <v>0.15619668001514719</v>
      </c>
      <c r="N11" s="88">
        <f>91738.3272896868*(('2022 IR Data Book'!$A$5))</f>
        <v>91738.3272896868</v>
      </c>
      <c r="O11" s="146">
        <f t="shared" si="2"/>
        <v>0.15505891378954953</v>
      </c>
      <c r="P11" s="148">
        <f t="shared" si="3"/>
        <v>-832.16906113989535</v>
      </c>
      <c r="Q11" s="147">
        <f>(L11/N11)-1</f>
        <v>-9.071116573906024E-3</v>
      </c>
    </row>
    <row r="12" spans="1:17" x14ac:dyDescent="0.2">
      <c r="B12" s="20" t="s">
        <v>216</v>
      </c>
      <c r="C12" s="88">
        <f>4170.68869013166*(('2022 IR Data Book'!$A$5))</f>
        <v>4170.6886901316602</v>
      </c>
      <c r="D12" s="146">
        <f>C12/$C$14</f>
        <v>2.1534781485312272E-2</v>
      </c>
      <c r="E12" s="88">
        <f>3365.98508404416*(('2022 IR Data Book'!$A$5))</f>
        <v>3365.98508404416</v>
      </c>
      <c r="F12" s="146">
        <f>E12/$E$14</f>
        <v>1.6375219451479024E-2</v>
      </c>
      <c r="G12" s="148">
        <f t="shared" si="0"/>
        <v>804.70360608750025</v>
      </c>
      <c r="H12" s="147">
        <f>(C12/E12)-1</f>
        <v>0.23906927273743772</v>
      </c>
      <c r="I12" s="163"/>
      <c r="K12" s="20" t="s">
        <v>216</v>
      </c>
      <c r="L12" s="88">
        <f>9953.34437278053*(('2022 IR Data Book'!$A$5))</f>
        <v>9953.3443727805297</v>
      </c>
      <c r="M12" s="146">
        <f t="shared" si="1"/>
        <v>1.710202450935339E-2</v>
      </c>
      <c r="N12" s="88">
        <f>6842.40056800333*(('2022 IR Data Book'!$A$5))</f>
        <v>6842.4005680033297</v>
      </c>
      <c r="O12" s="146">
        <f t="shared" si="2"/>
        <v>1.1565233759247621E-2</v>
      </c>
      <c r="P12" s="148">
        <f t="shared" si="3"/>
        <v>3110.9438047772001</v>
      </c>
      <c r="Q12" s="147">
        <f>(L12/N12)-1</f>
        <v>0.45465677927783177</v>
      </c>
    </row>
    <row r="13" spans="1:17" x14ac:dyDescent="0.2">
      <c r="C13" s="88"/>
      <c r="D13" s="146"/>
      <c r="E13" s="88"/>
      <c r="F13" s="146"/>
      <c r="G13" s="148"/>
      <c r="H13" s="147"/>
      <c r="I13" s="163"/>
      <c r="L13" s="88"/>
      <c r="M13" s="146"/>
      <c r="N13" s="88"/>
      <c r="O13" s="146"/>
      <c r="P13" s="148"/>
      <c r="Q13" s="147"/>
    </row>
    <row r="14" spans="1:17" ht="15.75" x14ac:dyDescent="0.25">
      <c r="B14" s="138" t="s">
        <v>217</v>
      </c>
      <c r="C14" s="89">
        <f>SUM(C8:C12)</f>
        <v>193672.20851422453</v>
      </c>
      <c r="D14" s="146">
        <f>C14/$C$14</f>
        <v>1</v>
      </c>
      <c r="E14" s="89">
        <f>SUM(E8:E12)</f>
        <v>205553.58625988619</v>
      </c>
      <c r="F14" s="146">
        <f>E14/$E$14</f>
        <v>1</v>
      </c>
      <c r="G14" s="149">
        <f>C14-E14</f>
        <v>-11881.377745661652</v>
      </c>
      <c r="H14" s="150">
        <f>(C14/E14)-1</f>
        <v>-5.7801850903441587E-2</v>
      </c>
      <c r="I14" s="241"/>
      <c r="K14" s="138" t="s">
        <v>217</v>
      </c>
      <c r="L14" s="89">
        <f>SUM(L8:L12)</f>
        <v>581998.01826601732</v>
      </c>
      <c r="M14" s="146">
        <f>L14/$L$14</f>
        <v>1</v>
      </c>
      <c r="N14" s="89">
        <f>SUM(N8:N12)</f>
        <v>591635.30201299314</v>
      </c>
      <c r="O14" s="146">
        <f>N14/$N$14</f>
        <v>1</v>
      </c>
      <c r="P14" s="149">
        <f>L14-N14</f>
        <v>-9637.2837469758233</v>
      </c>
      <c r="Q14" s="150">
        <f>(L14/N14)-1</f>
        <v>-1.6289230399514243E-2</v>
      </c>
    </row>
    <row r="15" spans="1:17" x14ac:dyDescent="0.2">
      <c r="C15" s="88">
        <v>0</v>
      </c>
      <c r="D15" s="151"/>
      <c r="E15" s="88">
        <v>0</v>
      </c>
      <c r="F15" s="151"/>
      <c r="G15" s="189"/>
      <c r="H15" s="147"/>
      <c r="I15" s="241"/>
      <c r="L15" s="88">
        <v>0</v>
      </c>
      <c r="M15" s="151"/>
      <c r="N15" s="88">
        <v>0</v>
      </c>
      <c r="O15" s="151"/>
      <c r="P15" s="189"/>
      <c r="Q15" s="147"/>
    </row>
    <row r="16" spans="1:17" ht="15.75" x14ac:dyDescent="0.25">
      <c r="B16" s="138" t="s">
        <v>34</v>
      </c>
      <c r="C16" s="89">
        <f>51047.1066827498*(('2022 IR Data Book'!$A$5))</f>
        <v>51047.1066827498</v>
      </c>
      <c r="D16" s="146">
        <f>C16/$C$14</f>
        <v>0.26357476415621384</v>
      </c>
      <c r="E16" s="89">
        <f>62618.4719521396*(('2022 IR Data Book'!$A$5))</f>
        <v>62618.471952139596</v>
      </c>
      <c r="F16" s="146">
        <f>E16/$E$14</f>
        <v>0.30463332258756898</v>
      </c>
      <c r="G16" s="149">
        <f>C16-E16</f>
        <v>-11571.365269389797</v>
      </c>
      <c r="H16" s="150">
        <f>(C16/E16)-1</f>
        <v>-0.18479156243598527</v>
      </c>
      <c r="I16" s="163"/>
      <c r="K16" s="138" t="s">
        <v>34</v>
      </c>
      <c r="L16" s="89">
        <f>163085.557876118*(('2022 IR Data Book'!$A$5))</f>
        <v>163085.55787611799</v>
      </c>
      <c r="M16" s="146">
        <f>L16/$L$14</f>
        <v>0.28021668933170751</v>
      </c>
      <c r="N16" s="89">
        <f>182575.659170313*(('2022 IR Data Book'!$A$5))</f>
        <v>182575.65917031301</v>
      </c>
      <c r="O16" s="146">
        <f>N16/$N$14</f>
        <v>0.30859493770759372</v>
      </c>
      <c r="P16" s="149">
        <f>L16-N16</f>
        <v>-19490.101294195018</v>
      </c>
      <c r="Q16" s="150">
        <f>(L16/N16)-1</f>
        <v>-0.10675081981226187</v>
      </c>
    </row>
    <row r="17" spans="2:17" ht="15.75" x14ac:dyDescent="0.25">
      <c r="B17" s="138"/>
      <c r="C17" s="230">
        <f>C16/1000</f>
        <v>51.047106682749799</v>
      </c>
      <c r="D17" s="152"/>
      <c r="E17" s="89"/>
      <c r="F17" s="152"/>
      <c r="G17" s="190"/>
      <c r="H17" s="150"/>
      <c r="I17" s="163"/>
      <c r="K17" s="138"/>
      <c r="L17" s="89"/>
      <c r="M17" s="152"/>
      <c r="N17" s="89"/>
      <c r="O17" s="152"/>
      <c r="P17" s="190"/>
      <c r="Q17" s="150"/>
    </row>
    <row r="18" spans="2:17" ht="15.75" x14ac:dyDescent="0.25">
      <c r="B18" s="138"/>
      <c r="C18" s="89"/>
      <c r="D18" s="152"/>
      <c r="E18" s="89"/>
      <c r="F18" s="152"/>
      <c r="G18" s="190"/>
      <c r="H18" s="150"/>
      <c r="I18" s="163"/>
      <c r="K18" s="138"/>
      <c r="L18" s="89"/>
      <c r="M18" s="152"/>
      <c r="N18" s="89"/>
      <c r="O18" s="152"/>
      <c r="P18" s="190"/>
      <c r="Q18" s="150"/>
    </row>
    <row r="19" spans="2:17" x14ac:dyDescent="0.2">
      <c r="B19" s="72" t="s">
        <v>218</v>
      </c>
      <c r="C19" s="161" t="str">
        <f>$C$6</f>
        <v>Q3'22</v>
      </c>
      <c r="D19" s="143"/>
      <c r="E19" s="161" t="str">
        <f>$E$6</f>
        <v>Q3'21</v>
      </c>
      <c r="G19" s="188" t="s">
        <v>211</v>
      </c>
      <c r="H19" s="161" t="s">
        <v>30</v>
      </c>
      <c r="I19" s="163"/>
      <c r="K19" s="72" t="s">
        <v>218</v>
      </c>
      <c r="L19" s="161" t="str">
        <f>$L$6</f>
        <v>Sep YTD 2022</v>
      </c>
      <c r="M19" s="143"/>
      <c r="N19" s="161" t="str">
        <f>$N$6</f>
        <v>Sep YTD 2021</v>
      </c>
      <c r="P19" s="188" t="s">
        <v>211</v>
      </c>
      <c r="Q19" s="161" t="s">
        <v>30</v>
      </c>
    </row>
    <row r="20" spans="2:17" ht="15.75" x14ac:dyDescent="0.25">
      <c r="B20" s="153" t="s">
        <v>219</v>
      </c>
      <c r="C20" s="86">
        <v>4072094</v>
      </c>
      <c r="D20" s="87"/>
      <c r="E20" s="86">
        <v>4227874</v>
      </c>
      <c r="F20" s="154"/>
      <c r="G20" s="148">
        <f t="shared" ref="G20:G22" si="4">C20-E20</f>
        <v>-155780</v>
      </c>
      <c r="H20" s="147">
        <f t="shared" ref="H20:H22" si="5">(C20/E20)-1</f>
        <v>-3.6845941955696904E-2</v>
      </c>
      <c r="I20" s="164"/>
      <c r="K20" s="153" t="s">
        <v>219</v>
      </c>
      <c r="L20" s="86">
        <v>12678059</v>
      </c>
      <c r="M20" s="87"/>
      <c r="N20" s="86">
        <v>12531285</v>
      </c>
      <c r="O20" s="154"/>
      <c r="P20" s="148">
        <f t="shared" ref="P20:P22" si="6">L20-N20</f>
        <v>146774</v>
      </c>
      <c r="Q20" s="147">
        <f t="shared" ref="Q20:Q22" si="7">(L20/N20)-1</f>
        <v>1.171260569047794E-2</v>
      </c>
    </row>
    <row r="21" spans="2:17" ht="15.75" x14ac:dyDescent="0.25">
      <c r="B21" s="138" t="s">
        <v>212</v>
      </c>
      <c r="C21" s="162">
        <v>300044</v>
      </c>
      <c r="D21" s="85"/>
      <c r="E21" s="162">
        <v>375759</v>
      </c>
      <c r="F21" s="152"/>
      <c r="G21" s="148">
        <f t="shared" si="4"/>
        <v>-75715</v>
      </c>
      <c r="H21" s="147">
        <f t="shared" si="5"/>
        <v>-0.20149883302861671</v>
      </c>
      <c r="I21" s="163"/>
      <c r="J21" s="140"/>
      <c r="K21" s="138" t="s">
        <v>212</v>
      </c>
      <c r="L21" s="162">
        <v>963999</v>
      </c>
      <c r="M21" s="85"/>
      <c r="N21" s="162">
        <v>1149732</v>
      </c>
      <c r="O21" s="152"/>
      <c r="P21" s="148">
        <f t="shared" si="6"/>
        <v>-185733</v>
      </c>
      <c r="Q21" s="147">
        <f t="shared" si="7"/>
        <v>-0.16154460343801857</v>
      </c>
    </row>
    <row r="22" spans="2:17" x14ac:dyDescent="0.2">
      <c r="B22" s="155"/>
      <c r="C22" s="156">
        <f>C21+C20</f>
        <v>4372138</v>
      </c>
      <c r="D22" s="155"/>
      <c r="E22" s="156">
        <f>E21+E20</f>
        <v>4603633</v>
      </c>
      <c r="F22" s="155"/>
      <c r="G22" s="148">
        <f t="shared" si="4"/>
        <v>-231495</v>
      </c>
      <c r="H22" s="147">
        <f t="shared" si="5"/>
        <v>-5.0285285555994541E-2</v>
      </c>
      <c r="I22" s="165"/>
      <c r="J22" s="157"/>
      <c r="K22" s="155"/>
      <c r="L22" s="156">
        <f>L21+L20</f>
        <v>13642058</v>
      </c>
      <c r="M22" s="155"/>
      <c r="N22" s="156">
        <f>N21+N20</f>
        <v>13681017</v>
      </c>
      <c r="O22" s="155"/>
      <c r="P22" s="148">
        <f t="shared" si="6"/>
        <v>-38959</v>
      </c>
      <c r="Q22" s="147">
        <f t="shared" si="7"/>
        <v>-2.8476684152939358E-3</v>
      </c>
    </row>
    <row r="23" spans="2:17" x14ac:dyDescent="0.2">
      <c r="G23" s="250"/>
      <c r="H23" s="251"/>
      <c r="I23" s="163"/>
    </row>
    <row r="24" spans="2:17" ht="18.75" x14ac:dyDescent="0.3">
      <c r="B24" s="142" t="s">
        <v>316</v>
      </c>
      <c r="I24" s="163"/>
      <c r="K24" s="142" t="s">
        <v>316</v>
      </c>
    </row>
    <row r="25" spans="2:17" x14ac:dyDescent="0.2">
      <c r="B25" s="59" t="str">
        <f>$B$3</f>
        <v xml:space="preserve">Q3'22 vs Q3'21 </v>
      </c>
      <c r="I25" s="163"/>
      <c r="K25" s="59" t="str">
        <f>$B$3</f>
        <v xml:space="preserve">Q3'22 vs Q3'21 </v>
      </c>
    </row>
    <row r="26" spans="2:17" x14ac:dyDescent="0.2">
      <c r="B26" s="51" t="s">
        <v>209</v>
      </c>
      <c r="I26" s="163"/>
      <c r="K26" s="51" t="s">
        <v>209</v>
      </c>
    </row>
    <row r="27" spans="2:17" x14ac:dyDescent="0.2">
      <c r="C27" s="161" t="s">
        <v>210</v>
      </c>
      <c r="D27" s="143"/>
      <c r="E27" s="161" t="s">
        <v>210</v>
      </c>
      <c r="I27" s="163"/>
      <c r="L27" s="161" t="s">
        <v>210</v>
      </c>
      <c r="M27" s="143"/>
      <c r="N27" s="161" t="s">
        <v>210</v>
      </c>
    </row>
    <row r="28" spans="2:17" x14ac:dyDescent="0.2">
      <c r="B28" s="144"/>
      <c r="C28" s="161" t="str">
        <f>$C$6</f>
        <v>Q3'22</v>
      </c>
      <c r="D28" s="143"/>
      <c r="E28" s="161" t="str">
        <f>$E$6</f>
        <v>Q3'21</v>
      </c>
      <c r="G28" s="188" t="s">
        <v>211</v>
      </c>
      <c r="H28" s="161" t="s">
        <v>30</v>
      </c>
      <c r="I28" s="163"/>
      <c r="K28" s="144"/>
      <c r="L28" s="161" t="str">
        <f>$L$6</f>
        <v>Sep YTD 2022</v>
      </c>
      <c r="M28" s="143"/>
      <c r="N28" s="161" t="str">
        <f>$N$6</f>
        <v>Sep YTD 2021</v>
      </c>
      <c r="P28" s="188" t="s">
        <v>211</v>
      </c>
      <c r="Q28" s="161" t="s">
        <v>30</v>
      </c>
    </row>
    <row r="29" spans="2:17" x14ac:dyDescent="0.2">
      <c r="H29" s="145"/>
      <c r="I29" s="163"/>
      <c r="Q29" s="145"/>
    </row>
    <row r="30" spans="2:17" x14ac:dyDescent="0.2">
      <c r="B30" s="20" t="s">
        <v>212</v>
      </c>
      <c r="C30" s="88">
        <f>145422.532245843*(('2022 IR Data Book'!$A$5))</f>
        <v>145422.532245843</v>
      </c>
      <c r="D30" s="146">
        <f>C30/$C$36</f>
        <v>0.24986460318544518</v>
      </c>
      <c r="E30" s="88">
        <f>151944.931387658*(('2022 IR Data Book'!$A$5))</f>
        <v>151944.931387658</v>
      </c>
      <c r="F30" s="146">
        <f>E30/$E$36</f>
        <v>0.30295506841219966</v>
      </c>
      <c r="G30" s="148">
        <f>C30-E30</f>
        <v>-6522.3991418149963</v>
      </c>
      <c r="H30" s="147">
        <f>(C30/E30)-1</f>
        <v>-4.2926072506981883E-2</v>
      </c>
      <c r="I30" s="163"/>
      <c r="K30" s="20" t="s">
        <v>212</v>
      </c>
      <c r="L30" s="88">
        <f>449594.324844216*(('2022 IR Data Book'!$A$5))</f>
        <v>449594.324844216</v>
      </c>
      <c r="M30" s="146">
        <f>L30/$L$36</f>
        <v>0.25906356666453773</v>
      </c>
      <c r="N30" s="88">
        <f>519595.151556375*(('2022 IR Data Book'!$A$5))</f>
        <v>519595.15155637503</v>
      </c>
      <c r="O30" s="146">
        <f>N30/$N$36</f>
        <v>0.33394138226412795</v>
      </c>
      <c r="P30" s="148">
        <f>L30-N30</f>
        <v>-70000.826712159032</v>
      </c>
      <c r="Q30" s="147">
        <f>(L30/N30)-1</f>
        <v>-0.13472186278582721</v>
      </c>
    </row>
    <row r="31" spans="2:17" x14ac:dyDescent="0.2">
      <c r="B31" s="20" t="s">
        <v>213</v>
      </c>
      <c r="C31" s="88">
        <f>147943.456445721*(('2022 IR Data Book'!$A$5))</f>
        <v>147943.45644572101</v>
      </c>
      <c r="D31" s="146">
        <f t="shared" ref="D31:D34" si="8">C31/$C$36</f>
        <v>0.25419604835515414</v>
      </c>
      <c r="E31" s="88">
        <f>146202.994472877*(('2022 IR Data Book'!$A$5))</f>
        <v>146202.99447287701</v>
      </c>
      <c r="F31" s="146">
        <f t="shared" ref="F31:F34" si="9">E31/$E$36</f>
        <v>0.29150652007992334</v>
      </c>
      <c r="G31" s="148">
        <f t="shared" ref="G31:G34" si="10">C31-E31</f>
        <v>1740.4619728440011</v>
      </c>
      <c r="H31" s="147">
        <f>(C31/E31)-1</f>
        <v>1.1904420830223694E-2</v>
      </c>
      <c r="I31" s="163"/>
      <c r="K31" s="20" t="s">
        <v>213</v>
      </c>
      <c r="L31" s="88">
        <f>442317.901629077*(('2022 IR Data Book'!$A$5))</f>
        <v>442317.90162907698</v>
      </c>
      <c r="M31" s="146">
        <f>L31/$L$36</f>
        <v>0.25487077319160473</v>
      </c>
      <c r="N31" s="88">
        <f>428224.688597176*(('2022 IR Data Book'!$A$5))</f>
        <v>428224.68859717599</v>
      </c>
      <c r="O31" s="146">
        <f>N31/$N$36</f>
        <v>0.27521801156424236</v>
      </c>
      <c r="P31" s="148">
        <f t="shared" ref="P31:P34" si="11">L31-N31</f>
        <v>14093.213031900988</v>
      </c>
      <c r="Q31" s="147">
        <f>(L31/N31)-1</f>
        <v>3.2910790543322133E-2</v>
      </c>
    </row>
    <row r="32" spans="2:17" x14ac:dyDescent="0.2">
      <c r="B32" s="20" t="s">
        <v>214</v>
      </c>
      <c r="C32" s="88">
        <f>224461.588496037*(('2022 IR Data Book'!$A$5))</f>
        <v>224461.588496037</v>
      </c>
      <c r="D32" s="146">
        <f t="shared" si="8"/>
        <v>0.38566929672991029</v>
      </c>
      <c r="E32" s="88">
        <f>142817.602477152*(('2022 IR Data Book'!$A$5))</f>
        <v>142817.60247715199</v>
      </c>
      <c r="F32" s="146">
        <f t="shared" si="9"/>
        <v>0.28475656366939778</v>
      </c>
      <c r="G32" s="82">
        <f t="shared" si="10"/>
        <v>81643.986018885014</v>
      </c>
      <c r="H32" s="83">
        <f>(C32/E32)-1</f>
        <v>0.57166612940408701</v>
      </c>
      <c r="I32" s="163"/>
      <c r="K32" s="20" t="s">
        <v>214</v>
      </c>
      <c r="L32" s="88">
        <f>650946.06881816*(('2022 IR Data Book'!$A$5))</f>
        <v>650946.06881815998</v>
      </c>
      <c r="M32" s="146">
        <f>L32/$L$36</f>
        <v>0.37508571833669052</v>
      </c>
      <c r="N32" s="88">
        <f>428905.561124656*(('2022 IR Data Book'!$A$5))</f>
        <v>428905.561124656</v>
      </c>
      <c r="O32" s="146">
        <f>N32/$N$36</f>
        <v>0.27565560516435833</v>
      </c>
      <c r="P32" s="82">
        <f t="shared" si="11"/>
        <v>222040.50769350398</v>
      </c>
      <c r="Q32" s="83">
        <f>(L32/N32)-1</f>
        <v>0.51769090405654761</v>
      </c>
    </row>
    <row r="33" spans="2:17" x14ac:dyDescent="0.2">
      <c r="B33" s="20" t="s">
        <v>215</v>
      </c>
      <c r="C33" s="88">
        <f>62342.0561237394*(('2022 IR Data Book'!$A$5))</f>
        <v>62342.056123739399</v>
      </c>
      <c r="D33" s="146">
        <f t="shared" si="8"/>
        <v>0.10711595290329004</v>
      </c>
      <c r="E33" s="88">
        <f>58838.7705544933*(('2022 IR Data Book'!$A$5))</f>
        <v>58838.770554493298</v>
      </c>
      <c r="F33" s="146">
        <f t="shared" si="9"/>
        <v>0.11731555370641435</v>
      </c>
      <c r="G33" s="148">
        <f t="shared" si="10"/>
        <v>3503.2855692461017</v>
      </c>
      <c r="H33" s="147">
        <f>(C33/E33)-1</f>
        <v>5.9540427786497485E-2</v>
      </c>
      <c r="I33" s="163"/>
      <c r="K33" s="20" t="s">
        <v>215</v>
      </c>
      <c r="L33" s="88">
        <f>186871.885052487*(('2022 IR Data Book'!$A$5))</f>
        <v>186871.88505248699</v>
      </c>
      <c r="M33" s="146">
        <f>L33/$L$36</f>
        <v>0.10767862131666675</v>
      </c>
      <c r="N33" s="88">
        <f>173041.582965089*(('2022 IR Data Book'!$A$5))</f>
        <v>173041.58296508901</v>
      </c>
      <c r="O33" s="146">
        <f>N33/$N$36</f>
        <v>0.11121301888873565</v>
      </c>
      <c r="P33" s="148">
        <f t="shared" si="11"/>
        <v>13830.302087397984</v>
      </c>
      <c r="Q33" s="147">
        <f>(L33/N33)-1</f>
        <v>7.9924731676710437E-2</v>
      </c>
    </row>
    <row r="34" spans="2:17" x14ac:dyDescent="0.2">
      <c r="B34" s="20" t="s">
        <v>216</v>
      </c>
      <c r="C34" s="88">
        <f>1835.70234603933*(('2022 IR Data Book'!$A$5))</f>
        <v>1835.70234603933</v>
      </c>
      <c r="D34" s="146">
        <f t="shared" si="8"/>
        <v>3.1540988262004324E-3</v>
      </c>
      <c r="E34" s="88">
        <f>1738.49484290335*(('2022 IR Data Book'!$A$5))</f>
        <v>1738.49484290335</v>
      </c>
      <c r="F34" s="146">
        <f t="shared" si="9"/>
        <v>3.4662941320648859E-3</v>
      </c>
      <c r="G34" s="148">
        <f t="shared" si="10"/>
        <v>97.207503135980005</v>
      </c>
      <c r="H34" s="147">
        <f>(C34/E34)-1</f>
        <v>5.5914749205490777E-2</v>
      </c>
      <c r="I34" s="163"/>
      <c r="K34" s="20" t="s">
        <v>216</v>
      </c>
      <c r="L34" s="88">
        <f>5729.30796920114*(('2022 IR Data Book'!$A$5))</f>
        <v>5729.3079692011397</v>
      </c>
      <c r="M34" s="146">
        <f>L34/$L$36</f>
        <v>3.3013204905001851E-3</v>
      </c>
      <c r="N34" s="88">
        <f>6180.19437084144*(('2022 IR Data Book'!$A$5))</f>
        <v>6180.1943708414401</v>
      </c>
      <c r="O34" s="146">
        <f>N34/$N$36</f>
        <v>3.9719821185357088E-3</v>
      </c>
      <c r="P34" s="148">
        <f t="shared" si="11"/>
        <v>-450.88640164030039</v>
      </c>
      <c r="Q34" s="147">
        <f>(L34/N34)-1</f>
        <v>-7.2956670063260787E-2</v>
      </c>
    </row>
    <row r="35" spans="2:17" x14ac:dyDescent="0.2">
      <c r="C35" s="88"/>
      <c r="D35" s="146"/>
      <c r="E35" s="88"/>
      <c r="F35" s="146"/>
      <c r="G35" s="148"/>
      <c r="H35" s="147"/>
      <c r="I35" s="163"/>
      <c r="L35" s="88"/>
      <c r="M35" s="146"/>
      <c r="N35" s="88"/>
      <c r="O35" s="146"/>
      <c r="P35" s="148"/>
      <c r="Q35" s="147"/>
    </row>
    <row r="36" spans="2:17" ht="15.75" x14ac:dyDescent="0.25">
      <c r="B36" s="138" t="s">
        <v>217</v>
      </c>
      <c r="C36" s="89">
        <f>SUM(C30:C34)</f>
        <v>582005.33565737971</v>
      </c>
      <c r="D36" s="146">
        <f>C36/$C$36</f>
        <v>1</v>
      </c>
      <c r="E36" s="89">
        <f>SUM(E30:E34)</f>
        <v>501542.79373508366</v>
      </c>
      <c r="F36" s="146">
        <f>E36/$E$36</f>
        <v>1</v>
      </c>
      <c r="G36" s="149">
        <f>C36-E36</f>
        <v>80462.541922296048</v>
      </c>
      <c r="H36" s="150">
        <f>(C36/E36)-1</f>
        <v>0.16043006285281525</v>
      </c>
      <c r="I36" s="241"/>
      <c r="K36" s="138" t="s">
        <v>217</v>
      </c>
      <c r="L36" s="89">
        <f>SUM(L30:L34)</f>
        <v>1735459.4883131413</v>
      </c>
      <c r="M36" s="146">
        <f>L36/$L$36</f>
        <v>1</v>
      </c>
      <c r="N36" s="89">
        <f>SUM(N30:N34)</f>
        <v>1555947.1786141375</v>
      </c>
      <c r="O36" s="146">
        <f>N36/$N$36</f>
        <v>1</v>
      </c>
      <c r="P36" s="149">
        <f>L36-N36</f>
        <v>179512.30969900382</v>
      </c>
      <c r="Q36" s="150">
        <f>(L36/N36)-1</f>
        <v>0.11537172480295443</v>
      </c>
    </row>
    <row r="37" spans="2:17" x14ac:dyDescent="0.2">
      <c r="C37" s="88">
        <v>0</v>
      </c>
      <c r="D37" s="151"/>
      <c r="E37" s="88">
        <v>0</v>
      </c>
      <c r="F37" s="151"/>
      <c r="G37" s="189"/>
      <c r="H37" s="147"/>
      <c r="I37" s="241"/>
      <c r="L37" s="88">
        <v>0</v>
      </c>
      <c r="M37" s="151"/>
      <c r="N37" s="88">
        <v>0</v>
      </c>
      <c r="O37" s="151"/>
      <c r="P37" s="189"/>
      <c r="Q37" s="147"/>
    </row>
    <row r="38" spans="2:17" ht="15.75" x14ac:dyDescent="0.25">
      <c r="B38" s="138" t="s">
        <v>34</v>
      </c>
      <c r="C38" s="89">
        <f>106423.210079532*(('2022 IR Data Book'!$A$5))</f>
        <v>106423.210079532</v>
      </c>
      <c r="D38" s="146">
        <f>C38/$C$36</f>
        <v>0.18285607289033892</v>
      </c>
      <c r="E38" s="89">
        <f>99509.6707237659*(('2022 IR Data Book'!$A$5))</f>
        <v>99509.670723765899</v>
      </c>
      <c r="F38" s="146">
        <f>E38/$E$36</f>
        <v>0.19840713886585556</v>
      </c>
      <c r="G38" s="149">
        <f>C38-E38</f>
        <v>6913.5393557661009</v>
      </c>
      <c r="H38" s="150">
        <f>(C38/E38)-1</f>
        <v>6.9476054995275316E-2</v>
      </c>
      <c r="I38" s="166"/>
      <c r="K38" s="138" t="s">
        <v>34</v>
      </c>
      <c r="L38" s="89">
        <f>340874.889657966*(('2022 IR Data Book'!$A$5))</f>
        <v>340874.88965796598</v>
      </c>
      <c r="M38" s="146">
        <f>L38/$L$36</f>
        <v>0.19641765881224621</v>
      </c>
      <c r="N38" s="89">
        <f>302297.991735604*(('2022 IR Data Book'!$A$5))</f>
        <v>302297.99173560401</v>
      </c>
      <c r="O38" s="146">
        <f>N38/$N$36</f>
        <v>0.19428551038914896</v>
      </c>
      <c r="P38" s="149">
        <f>L38-N38</f>
        <v>38576.897922361968</v>
      </c>
      <c r="Q38" s="150">
        <f>(L38/N38)-1</f>
        <v>0.12761215415583083</v>
      </c>
    </row>
    <row r="39" spans="2:17" x14ac:dyDescent="0.2">
      <c r="I39" s="163"/>
    </row>
    <row r="40" spans="2:17" x14ac:dyDescent="0.2">
      <c r="B40" s="72" t="s">
        <v>218</v>
      </c>
      <c r="C40" s="161" t="str">
        <f>$C$6</f>
        <v>Q3'22</v>
      </c>
      <c r="D40" s="143"/>
      <c r="E40" s="161" t="str">
        <f>$E$6</f>
        <v>Q3'21</v>
      </c>
      <c r="G40" s="188" t="s">
        <v>211</v>
      </c>
      <c r="H40" s="161" t="s">
        <v>30</v>
      </c>
      <c r="I40" s="163"/>
      <c r="K40" s="72" t="s">
        <v>218</v>
      </c>
      <c r="L40" s="161" t="str">
        <f>$L$6</f>
        <v>Sep YTD 2022</v>
      </c>
      <c r="M40" s="143"/>
      <c r="N40" s="161" t="str">
        <f>$N$6</f>
        <v>Sep YTD 2021</v>
      </c>
      <c r="P40" s="188" t="s">
        <v>211</v>
      </c>
      <c r="Q40" s="161" t="s">
        <v>30</v>
      </c>
    </row>
    <row r="41" spans="2:17" ht="15.75" x14ac:dyDescent="0.25">
      <c r="B41" s="153" t="s">
        <v>219</v>
      </c>
      <c r="C41" s="84">
        <v>8033836</v>
      </c>
      <c r="D41" s="84"/>
      <c r="E41" s="84">
        <v>7568256</v>
      </c>
      <c r="F41" s="91"/>
      <c r="G41" s="148">
        <f t="shared" ref="G41:G43" si="12">C41-E41</f>
        <v>465580</v>
      </c>
      <c r="H41" s="147">
        <f t="shared" ref="H41:H43" si="13">(C41/E41)-1</f>
        <v>6.1517475095979934E-2</v>
      </c>
      <c r="I41" s="164"/>
      <c r="K41" s="153" t="s">
        <v>219</v>
      </c>
      <c r="L41" s="84">
        <v>24320815</v>
      </c>
      <c r="M41" s="84"/>
      <c r="N41" s="84">
        <v>22888323</v>
      </c>
      <c r="O41" s="91"/>
      <c r="P41" s="148">
        <f t="shared" ref="P41:P43" si="14">L41-N41</f>
        <v>1432492</v>
      </c>
      <c r="Q41" s="147">
        <f t="shared" ref="Q41:Q43" si="15">(L41/N41)-1</f>
        <v>6.2586149277952696E-2</v>
      </c>
    </row>
    <row r="42" spans="2:17" ht="15.75" x14ac:dyDescent="0.25">
      <c r="B42" s="138" t="s">
        <v>212</v>
      </c>
      <c r="C42" s="162">
        <v>1442384</v>
      </c>
      <c r="D42" s="85"/>
      <c r="E42" s="162">
        <v>2194780</v>
      </c>
      <c r="F42" s="152"/>
      <c r="G42" s="148">
        <f t="shared" si="12"/>
        <v>-752396</v>
      </c>
      <c r="H42" s="147">
        <f t="shared" si="13"/>
        <v>-0.34281158020393843</v>
      </c>
      <c r="I42" s="163"/>
      <c r="J42" s="140"/>
      <c r="K42" s="138" t="s">
        <v>212</v>
      </c>
      <c r="L42" s="162">
        <v>4550141</v>
      </c>
      <c r="M42" s="85"/>
      <c r="N42" s="162">
        <v>6450341</v>
      </c>
      <c r="O42" s="152"/>
      <c r="P42" s="148">
        <f t="shared" si="14"/>
        <v>-1900200</v>
      </c>
      <c r="Q42" s="147">
        <f t="shared" si="15"/>
        <v>-0.29458907676353852</v>
      </c>
    </row>
    <row r="43" spans="2:17" x14ac:dyDescent="0.2">
      <c r="B43" s="155"/>
      <c r="C43" s="156">
        <f>C42+C41</f>
        <v>9476220</v>
      </c>
      <c r="D43" s="155"/>
      <c r="E43" s="156">
        <f>E42+E41</f>
        <v>9763036</v>
      </c>
      <c r="F43" s="155"/>
      <c r="G43" s="148">
        <f t="shared" si="12"/>
        <v>-286816</v>
      </c>
      <c r="H43" s="147">
        <f t="shared" si="13"/>
        <v>-2.937774684022465E-2</v>
      </c>
      <c r="I43" s="165"/>
      <c r="K43" s="155"/>
      <c r="L43" s="156">
        <f>L42+L41</f>
        <v>28870956</v>
      </c>
      <c r="M43" s="155"/>
      <c r="N43" s="156">
        <f>N42+N41</f>
        <v>29338664</v>
      </c>
      <c r="O43" s="155"/>
      <c r="P43" s="148">
        <f t="shared" si="14"/>
        <v>-467708</v>
      </c>
      <c r="Q43" s="147">
        <f t="shared" si="15"/>
        <v>-1.5941693868541496E-2</v>
      </c>
    </row>
    <row r="44" spans="2:17" x14ac:dyDescent="0.2">
      <c r="I44" s="163"/>
    </row>
    <row r="45" spans="2:17" ht="18.75" x14ac:dyDescent="0.3">
      <c r="B45" s="142" t="s">
        <v>199</v>
      </c>
      <c r="I45" s="163"/>
      <c r="K45" s="142" t="s">
        <v>199</v>
      </c>
    </row>
    <row r="46" spans="2:17" x14ac:dyDescent="0.2">
      <c r="B46" s="59" t="str">
        <f>$B$3</f>
        <v xml:space="preserve">Q3'22 vs Q3'21 </v>
      </c>
      <c r="I46" s="163"/>
      <c r="K46" s="59" t="str">
        <f>$B$3</f>
        <v xml:space="preserve">Q3'22 vs Q3'21 </v>
      </c>
    </row>
    <row r="47" spans="2:17" x14ac:dyDescent="0.2">
      <c r="B47" s="51" t="s">
        <v>209</v>
      </c>
      <c r="I47" s="163"/>
      <c r="K47" s="51" t="s">
        <v>209</v>
      </c>
    </row>
    <row r="48" spans="2:17" x14ac:dyDescent="0.2">
      <c r="C48" s="161" t="s">
        <v>210</v>
      </c>
      <c r="D48" s="143"/>
      <c r="E48" s="161" t="s">
        <v>210</v>
      </c>
      <c r="I48" s="163"/>
      <c r="L48" s="161" t="s">
        <v>210</v>
      </c>
      <c r="M48" s="143"/>
      <c r="N48" s="161" t="s">
        <v>210</v>
      </c>
    </row>
    <row r="49" spans="2:17" x14ac:dyDescent="0.2">
      <c r="B49" s="144"/>
      <c r="C49" s="161" t="str">
        <f>$C$6</f>
        <v>Q3'22</v>
      </c>
      <c r="D49" s="143"/>
      <c r="E49" s="161" t="str">
        <f>$E$6</f>
        <v>Q3'21</v>
      </c>
      <c r="G49" s="188" t="s">
        <v>211</v>
      </c>
      <c r="H49" s="161" t="s">
        <v>30</v>
      </c>
      <c r="I49" s="163"/>
      <c r="K49" s="144"/>
      <c r="L49" s="161" t="str">
        <f>$L$6</f>
        <v>Sep YTD 2022</v>
      </c>
      <c r="M49" s="143"/>
      <c r="N49" s="161" t="str">
        <f>$N$6</f>
        <v>Sep YTD 2021</v>
      </c>
      <c r="P49" s="188" t="s">
        <v>211</v>
      </c>
      <c r="Q49" s="161" t="s">
        <v>30</v>
      </c>
    </row>
    <row r="50" spans="2:17" x14ac:dyDescent="0.2">
      <c r="H50" s="145"/>
      <c r="I50" s="163"/>
      <c r="Q50" s="145"/>
    </row>
    <row r="51" spans="2:17" x14ac:dyDescent="0.2">
      <c r="B51" s="20" t="s">
        <v>212</v>
      </c>
      <c r="C51" s="88">
        <f>19309.9187250478*(('2022 IR Data Book'!$A$5))</f>
        <v>19309.918725047799</v>
      </c>
      <c r="D51" s="146">
        <f>C51/$C$57</f>
        <v>0.22256216152205052</v>
      </c>
      <c r="E51" s="88">
        <f>21027.732904272*(('2022 IR Data Book'!$A$5))</f>
        <v>21027.732904272001</v>
      </c>
      <c r="F51" s="146">
        <f>E51/$E$57</f>
        <v>0.24832450794552868</v>
      </c>
      <c r="G51" s="148">
        <f>C51-E51</f>
        <v>-1717.8141792242022</v>
      </c>
      <c r="H51" s="147">
        <f>(C51/E51)-1</f>
        <v>-8.1692790518335445E-2</v>
      </c>
      <c r="I51" s="163"/>
      <c r="K51" s="20" t="s">
        <v>212</v>
      </c>
      <c r="L51" s="88">
        <f>57280.0049440025*(('2022 IR Data Book'!$A$5))</f>
        <v>57280.004944002503</v>
      </c>
      <c r="M51" s="146">
        <f>L51/$L$57</f>
        <v>0.2177440278737002</v>
      </c>
      <c r="N51" s="88">
        <f>55948.01637327*(('2022 IR Data Book'!$A$5))</f>
        <v>55948.016373270002</v>
      </c>
      <c r="O51" s="146">
        <f>N51/$N$57</f>
        <v>0.23088442181572988</v>
      </c>
      <c r="P51" s="148">
        <f>L51-N51</f>
        <v>1331.9885707325011</v>
      </c>
      <c r="Q51" s="147">
        <f>(L51/N51)-1</f>
        <v>2.3807610297491788E-2</v>
      </c>
    </row>
    <row r="52" spans="2:17" x14ac:dyDescent="0.2">
      <c r="B52" s="20" t="s">
        <v>213</v>
      </c>
      <c r="C52" s="88">
        <f>43394.9193793231*(('2022 IR Data Book'!$A$5))</f>
        <v>43394.919379323102</v>
      </c>
      <c r="D52" s="146">
        <f t="shared" ref="D52:D55" si="16">C52/$C$57</f>
        <v>0.5001609376848043</v>
      </c>
      <c r="E52" s="88">
        <f>44394.8024769631*(('2022 IR Data Book'!$A$5))</f>
        <v>44394.802476963101</v>
      </c>
      <c r="F52" s="146">
        <f t="shared" ref="F52:F55" si="17">E52/$E$57</f>
        <v>0.52427513373023182</v>
      </c>
      <c r="G52" s="148">
        <f t="shared" ref="G52:G55" si="18">C52-E52</f>
        <v>-999.8830976399986</v>
      </c>
      <c r="H52" s="147">
        <f>(C52/E52)-1</f>
        <v>-2.252252610333938E-2</v>
      </c>
      <c r="I52" s="163"/>
      <c r="K52" s="20" t="s">
        <v>213</v>
      </c>
      <c r="L52" s="88">
        <f>123700.714805319*(('2022 IR Data Book'!$A$5))</f>
        <v>123700.714805319</v>
      </c>
      <c r="M52" s="146">
        <f>L52/$L$57</f>
        <v>0.47023550222975768</v>
      </c>
      <c r="N52" s="88">
        <f>122517.298154481*(('2022 IR Data Book'!$A$5))</f>
        <v>122517.298154481</v>
      </c>
      <c r="O52" s="146">
        <f>N52/$N$57</f>
        <v>0.50560033010102268</v>
      </c>
      <c r="P52" s="148">
        <f t="shared" ref="P52:P55" si="19">L52-N52</f>
        <v>1183.4166508380004</v>
      </c>
      <c r="Q52" s="147">
        <f>(L52/N52)-1</f>
        <v>9.6591801212089212E-3</v>
      </c>
    </row>
    <row r="53" spans="2:17" x14ac:dyDescent="0.2">
      <c r="B53" s="20" t="s">
        <v>214</v>
      </c>
      <c r="C53" s="88">
        <f>21073.4098230838*(('2022 IR Data Book'!$A$5))</f>
        <v>21073.409823083799</v>
      </c>
      <c r="D53" s="146">
        <f t="shared" si="16"/>
        <v>0.24288779811288061</v>
      </c>
      <c r="E53" s="88">
        <f>17327.6344337306*(('2022 IR Data Book'!$A$5))</f>
        <v>17327.6344337306</v>
      </c>
      <c r="F53" s="146">
        <f t="shared" si="17"/>
        <v>0.20462863563108968</v>
      </c>
      <c r="G53" s="82">
        <f t="shared" si="18"/>
        <v>3745.775389353199</v>
      </c>
      <c r="H53" s="83">
        <f>(C53/E53)-1</f>
        <v>0.21617350040935412</v>
      </c>
      <c r="I53" s="163"/>
      <c r="K53" s="20" t="s">
        <v>214</v>
      </c>
      <c r="L53" s="88">
        <f>64910.6139459247*(('2022 IR Data Book'!$A$5))</f>
        <v>64910.613945924699</v>
      </c>
      <c r="M53" s="146">
        <f>L53/$L$57</f>
        <v>0.24675100056569232</v>
      </c>
      <c r="N53" s="88">
        <f>48209.643447567*(('2022 IR Data Book'!$A$5))</f>
        <v>48209.643447567003</v>
      </c>
      <c r="O53" s="146">
        <f>N53/$N$57</f>
        <v>0.19894996060399972</v>
      </c>
      <c r="P53" s="82">
        <f t="shared" si="19"/>
        <v>16700.970498357696</v>
      </c>
      <c r="Q53" s="83">
        <f>(L53/N53)-1</f>
        <v>0.34642385431706701</v>
      </c>
    </row>
    <row r="54" spans="2:17" x14ac:dyDescent="0.2">
      <c r="B54" s="20" t="s">
        <v>215</v>
      </c>
      <c r="C54" s="88">
        <f>2939.6916831551*(('2022 IR Data Book'!$A$5))</f>
        <v>2939.6916831550998</v>
      </c>
      <c r="D54" s="146">
        <f t="shared" si="16"/>
        <v>3.3882283220732425E-2</v>
      </c>
      <c r="E54" s="88">
        <f>2824.07037477484*(('2022 IR Data Book'!$A$5))</f>
        <v>2824.0703747748398</v>
      </c>
      <c r="F54" s="146">
        <f t="shared" si="17"/>
        <v>3.335052282678716E-2</v>
      </c>
      <c r="G54" s="148">
        <f t="shared" si="18"/>
        <v>115.62130838025996</v>
      </c>
      <c r="H54" s="147">
        <f>(C54/E54)-1</f>
        <v>4.0941369384067894E-2</v>
      </c>
      <c r="I54" s="163"/>
      <c r="K54" s="20" t="s">
        <v>215</v>
      </c>
      <c r="L54" s="88">
        <f>9015.58011758461*(('2022 IR Data Book'!$A$5))</f>
        <v>9015.58011758461</v>
      </c>
      <c r="M54" s="146">
        <f>L54/$L$57</f>
        <v>3.4271797468244908E-2</v>
      </c>
      <c r="N54" s="88">
        <f>8775.5888242421*(('2022 IR Data Book'!$A$5))</f>
        <v>8775.5888242421006</v>
      </c>
      <c r="O54" s="146">
        <f>N54/$N$57</f>
        <v>3.6214809444892845E-2</v>
      </c>
      <c r="P54" s="148">
        <f t="shared" si="19"/>
        <v>239.99129334250938</v>
      </c>
      <c r="Q54" s="147">
        <f>(L54/N54)-1</f>
        <v>2.7347600047024301E-2</v>
      </c>
    </row>
    <row r="55" spans="2:17" x14ac:dyDescent="0.2">
      <c r="B55" s="20" t="s">
        <v>216</v>
      </c>
      <c r="C55" s="88">
        <f>43.9726254674416*(('2022 IR Data Book'!$A$5))</f>
        <v>43.972625467441603</v>
      </c>
      <c r="D55" s="146">
        <f t="shared" si="16"/>
        <v>5.06819459531886E-4</v>
      </c>
      <c r="E55" s="88">
        <f>-895.796333185919*(('2022 IR Data Book'!$A$5))</f>
        <v>-895.79633318591902</v>
      </c>
      <c r="F55" s="146">
        <f t="shared" si="17"/>
        <v>-1.0578800133637305E-2</v>
      </c>
      <c r="G55" s="148">
        <f t="shared" si="18"/>
        <v>939.76895865336064</v>
      </c>
      <c r="H55" s="147">
        <f>(C55/E55)-1</f>
        <v>-1.0490877488982926</v>
      </c>
      <c r="I55" s="163"/>
      <c r="K55" s="20" t="s">
        <v>216</v>
      </c>
      <c r="L55" s="88">
        <f>8154.28471164522*(('2022 IR Data Book'!$A$5))</f>
        <v>8154.2847116452203</v>
      </c>
      <c r="M55" s="146">
        <f>L55/$L$57</f>
        <v>3.0997671862604697E-2</v>
      </c>
      <c r="N55" s="88">
        <f>6869.9005189793*(('2022 IR Data Book'!$A$5))</f>
        <v>6869.9005189792997</v>
      </c>
      <c r="O55" s="146">
        <f>N55/$N$57</f>
        <v>2.8350478034354878E-2</v>
      </c>
      <c r="P55" s="148">
        <f t="shared" si="19"/>
        <v>1284.3841926659206</v>
      </c>
      <c r="Q55" s="147">
        <f>(L55/N55)-1</f>
        <v>0.18695819380754997</v>
      </c>
    </row>
    <row r="56" spans="2:17" x14ac:dyDescent="0.2">
      <c r="C56" s="88"/>
      <c r="D56" s="146"/>
      <c r="E56" s="88"/>
      <c r="F56" s="146"/>
      <c r="G56" s="148"/>
      <c r="H56" s="147"/>
      <c r="I56" s="163"/>
      <c r="L56" s="88"/>
      <c r="M56" s="146"/>
      <c r="N56" s="88"/>
      <c r="O56" s="146"/>
      <c r="P56" s="148"/>
      <c r="Q56" s="147"/>
    </row>
    <row r="57" spans="2:17" ht="15.75" x14ac:dyDescent="0.25">
      <c r="B57" s="138" t="s">
        <v>217</v>
      </c>
      <c r="C57" s="89">
        <f>SUM(C51:C55)</f>
        <v>86761.91223607726</v>
      </c>
      <c r="D57" s="146">
        <f>C57/$C$57</f>
        <v>1</v>
      </c>
      <c r="E57" s="89">
        <f>SUM(E51:E55)</f>
        <v>84678.443856554615</v>
      </c>
      <c r="F57" s="146">
        <f>E57/$E$57</f>
        <v>1</v>
      </c>
      <c r="G57" s="149">
        <f>C57-E57</f>
        <v>2083.4683795226447</v>
      </c>
      <c r="H57" s="150">
        <f>(C57/E57)-1</f>
        <v>2.4604471747875278E-2</v>
      </c>
      <c r="I57" s="241"/>
      <c r="K57" s="138" t="s">
        <v>217</v>
      </c>
      <c r="L57" s="89">
        <f>SUM(L51:L55)</f>
        <v>263061.19852447609</v>
      </c>
      <c r="M57" s="146">
        <f>L57/$L$57</f>
        <v>1</v>
      </c>
      <c r="N57" s="89">
        <f>SUM(N51:N55)</f>
        <v>242320.4473185394</v>
      </c>
      <c r="O57" s="146">
        <f>N57/$N$57</f>
        <v>1</v>
      </c>
      <c r="P57" s="149">
        <f>L57-N57</f>
        <v>20740.751205936685</v>
      </c>
      <c r="Q57" s="150">
        <f>(L57/N57)-1</f>
        <v>8.5592245456167282E-2</v>
      </c>
    </row>
    <row r="58" spans="2:17" x14ac:dyDescent="0.2">
      <c r="C58" s="88">
        <v>0</v>
      </c>
      <c r="D58" s="151"/>
      <c r="E58" s="88">
        <v>0</v>
      </c>
      <c r="F58" s="151"/>
      <c r="G58" s="189"/>
      <c r="H58" s="147"/>
      <c r="I58" s="241"/>
      <c r="L58" s="88">
        <v>0</v>
      </c>
      <c r="M58" s="151"/>
      <c r="N58" s="88">
        <v>0</v>
      </c>
      <c r="O58" s="151"/>
      <c r="P58" s="189"/>
      <c r="Q58" s="147"/>
    </row>
    <row r="59" spans="2:17" ht="15.75" x14ac:dyDescent="0.25">
      <c r="B59" s="138" t="s">
        <v>34</v>
      </c>
      <c r="C59" s="89">
        <f>27748.6977610643*(('2022 IR Data Book'!$A$5))</f>
        <v>27748.697761064301</v>
      </c>
      <c r="D59" s="146">
        <f>C59/$C$57</f>
        <v>0.31982579735634115</v>
      </c>
      <c r="E59" s="89">
        <f>27337.2896354737*(('2022 IR Data Book'!$A$5))</f>
        <v>27337.289635473699</v>
      </c>
      <c r="F59" s="146">
        <f>E59/$E$57</f>
        <v>0.32283646687913986</v>
      </c>
      <c r="G59" s="149">
        <f>C59-E59</f>
        <v>411.40812559060214</v>
      </c>
      <c r="H59" s="150">
        <f>(C59/E59)-1</f>
        <v>1.5049338507089782E-2</v>
      </c>
      <c r="I59" s="163"/>
      <c r="K59" s="138" t="s">
        <v>34</v>
      </c>
      <c r="L59" s="89">
        <f>91496.5065735958*(('2022 IR Data Book'!$A$5))</f>
        <v>91496.506573595805</v>
      </c>
      <c r="M59" s="146">
        <f>L59/$L$57</f>
        <v>0.34781452789998851</v>
      </c>
      <c r="N59" s="89">
        <f>78719.2564737138*(('2022 IR Data Book'!$A$5))</f>
        <v>78719.256473713802</v>
      </c>
      <c r="O59" s="146">
        <f>N59/$N$57</f>
        <v>0.32485602162261756</v>
      </c>
      <c r="P59" s="149">
        <f>L59-N59</f>
        <v>12777.250099882003</v>
      </c>
      <c r="Q59" s="150">
        <f>(L59/N59)-1</f>
        <v>0.16231416139135701</v>
      </c>
    </row>
    <row r="60" spans="2:17" x14ac:dyDescent="0.2">
      <c r="I60" s="163"/>
    </row>
    <row r="61" spans="2:17" x14ac:dyDescent="0.2">
      <c r="B61" s="72" t="s">
        <v>218</v>
      </c>
      <c r="C61" s="161" t="str">
        <f>$C$6</f>
        <v>Q3'22</v>
      </c>
      <c r="D61" s="143"/>
      <c r="E61" s="161" t="str">
        <f>$E$6</f>
        <v>Q3'21</v>
      </c>
      <c r="G61" s="188" t="s">
        <v>211</v>
      </c>
      <c r="H61" s="161" t="s">
        <v>30</v>
      </c>
      <c r="I61" s="163"/>
      <c r="K61" s="72" t="s">
        <v>218</v>
      </c>
      <c r="L61" s="161" t="str">
        <f>$L$6</f>
        <v>Sep YTD 2022</v>
      </c>
      <c r="M61" s="143"/>
      <c r="N61" s="161" t="str">
        <f>$N$6</f>
        <v>Sep YTD 2021</v>
      </c>
      <c r="P61" s="188" t="s">
        <v>211</v>
      </c>
      <c r="Q61" s="161" t="s">
        <v>30</v>
      </c>
    </row>
    <row r="62" spans="2:17" ht="15.75" x14ac:dyDescent="0.25">
      <c r="B62" s="153" t="s">
        <v>219</v>
      </c>
      <c r="C62" s="84">
        <v>1512428</v>
      </c>
      <c r="D62" s="84"/>
      <c r="E62" s="84">
        <v>1598090</v>
      </c>
      <c r="F62" s="91"/>
      <c r="G62" s="148">
        <f t="shared" ref="G62:G64" si="20">C62-E62</f>
        <v>-85662</v>
      </c>
      <c r="H62" s="147">
        <f t="shared" ref="H62:H64" si="21">(C62/E62)-1</f>
        <v>-5.3602738268808348E-2</v>
      </c>
      <c r="I62" s="164"/>
      <c r="K62" s="153" t="s">
        <v>219</v>
      </c>
      <c r="L62" s="84">
        <v>4509438</v>
      </c>
      <c r="M62" s="84"/>
      <c r="N62" s="84">
        <v>4830218</v>
      </c>
      <c r="O62" s="91"/>
      <c r="P62" s="148">
        <f t="shared" ref="P62:P64" si="22">L62-N62</f>
        <v>-320780</v>
      </c>
      <c r="Q62" s="147">
        <f t="shared" ref="Q62:Q64" si="23">(L62/N62)-1</f>
        <v>-6.6411081238983427E-2</v>
      </c>
    </row>
    <row r="63" spans="2:17" ht="15.75" x14ac:dyDescent="0.25">
      <c r="B63" s="138" t="s">
        <v>212</v>
      </c>
      <c r="C63" s="162">
        <v>77756</v>
      </c>
      <c r="D63" s="85"/>
      <c r="E63" s="162">
        <v>80778</v>
      </c>
      <c r="F63" s="152"/>
      <c r="G63" s="148">
        <f t="shared" si="20"/>
        <v>-3022</v>
      </c>
      <c r="H63" s="147">
        <f t="shared" si="21"/>
        <v>-3.7411176310381489E-2</v>
      </c>
      <c r="I63" s="163"/>
      <c r="J63" s="140"/>
      <c r="K63" s="138" t="s">
        <v>212</v>
      </c>
      <c r="L63" s="162">
        <v>237711</v>
      </c>
      <c r="M63" s="85"/>
      <c r="N63" s="162">
        <v>229253</v>
      </c>
      <c r="O63" s="152"/>
      <c r="P63" s="148">
        <f t="shared" si="22"/>
        <v>8458</v>
      </c>
      <c r="Q63" s="147">
        <f t="shared" si="23"/>
        <v>3.6893737486532352E-2</v>
      </c>
    </row>
    <row r="64" spans="2:17" x14ac:dyDescent="0.2">
      <c r="B64" s="155"/>
      <c r="C64" s="156">
        <f>C63+C62</f>
        <v>1590184</v>
      </c>
      <c r="D64" s="155"/>
      <c r="E64" s="156">
        <f>E63+E62</f>
        <v>1678868</v>
      </c>
      <c r="F64" s="155"/>
      <c r="G64" s="148">
        <f t="shared" si="20"/>
        <v>-88684</v>
      </c>
      <c r="H64" s="147">
        <f t="shared" si="21"/>
        <v>-5.2823688342383046E-2</v>
      </c>
      <c r="I64" s="165"/>
      <c r="J64" s="140"/>
      <c r="K64" s="155"/>
      <c r="L64" s="156">
        <f>L63+L62</f>
        <v>4747149</v>
      </c>
      <c r="M64" s="155"/>
      <c r="N64" s="156">
        <f>N63+N62</f>
        <v>5059471</v>
      </c>
      <c r="O64" s="155"/>
      <c r="P64" s="148">
        <f t="shared" si="22"/>
        <v>-312322</v>
      </c>
      <c r="Q64" s="147">
        <f t="shared" si="23"/>
        <v>-6.1730169023599513E-2</v>
      </c>
    </row>
    <row r="65" spans="2:17" x14ac:dyDescent="0.2">
      <c r="I65" s="163"/>
    </row>
    <row r="66" spans="2:17" ht="18.75" x14ac:dyDescent="0.3">
      <c r="B66" s="142" t="s">
        <v>200</v>
      </c>
      <c r="I66" s="163"/>
      <c r="K66" s="142" t="s">
        <v>200</v>
      </c>
    </row>
    <row r="67" spans="2:17" x14ac:dyDescent="0.2">
      <c r="B67" s="59" t="str">
        <f>$B$3</f>
        <v xml:space="preserve">Q3'22 vs Q3'21 </v>
      </c>
      <c r="I67" s="163"/>
      <c r="K67" s="59" t="str">
        <f>$B$3</f>
        <v xml:space="preserve">Q3'22 vs Q3'21 </v>
      </c>
    </row>
    <row r="68" spans="2:17" x14ac:dyDescent="0.2">
      <c r="B68" s="51" t="s">
        <v>209</v>
      </c>
      <c r="I68" s="163"/>
      <c r="K68" s="51" t="s">
        <v>209</v>
      </c>
    </row>
    <row r="69" spans="2:17" x14ac:dyDescent="0.2">
      <c r="C69" s="161" t="s">
        <v>210</v>
      </c>
      <c r="D69" s="143"/>
      <c r="E69" s="161" t="s">
        <v>210</v>
      </c>
      <c r="I69" s="163"/>
      <c r="L69" s="161" t="s">
        <v>210</v>
      </c>
      <c r="M69" s="143"/>
      <c r="N69" s="161" t="s">
        <v>210</v>
      </c>
    </row>
    <row r="70" spans="2:17" x14ac:dyDescent="0.2">
      <c r="B70" s="144"/>
      <c r="C70" s="161" t="str">
        <f>$C$6</f>
        <v>Q3'22</v>
      </c>
      <c r="D70" s="143"/>
      <c r="E70" s="161" t="str">
        <f>$E$6</f>
        <v>Q3'21</v>
      </c>
      <c r="G70" s="188" t="s">
        <v>211</v>
      </c>
      <c r="H70" s="161" t="s">
        <v>30</v>
      </c>
      <c r="I70" s="163"/>
      <c r="K70" s="144"/>
      <c r="L70" s="161" t="str">
        <f>$L$6</f>
        <v>Sep YTD 2022</v>
      </c>
      <c r="M70" s="143"/>
      <c r="N70" s="161" t="str">
        <f>$N$6</f>
        <v>Sep YTD 2021</v>
      </c>
      <c r="P70" s="188" t="s">
        <v>211</v>
      </c>
      <c r="Q70" s="161" t="s">
        <v>30</v>
      </c>
    </row>
    <row r="71" spans="2:17" x14ac:dyDescent="0.2">
      <c r="H71" s="145"/>
      <c r="I71" s="163"/>
      <c r="Q71" s="145"/>
    </row>
    <row r="72" spans="2:17" x14ac:dyDescent="0.2">
      <c r="B72" s="20" t="s">
        <v>212</v>
      </c>
      <c r="C72" s="88">
        <f>78017.7986361163*(('2022 IR Data Book'!$A$5))</f>
        <v>78017.798636116306</v>
      </c>
      <c r="D72" s="146">
        <f>C72/$C$78</f>
        <v>0.45551258738479777</v>
      </c>
      <c r="E72" s="88">
        <f>90876.7380845452*(('2022 IR Data Book'!$A$5))</f>
        <v>90876.738084545199</v>
      </c>
      <c r="F72" s="146">
        <f>E72/$E$78</f>
        <v>0.48896536613912112</v>
      </c>
      <c r="G72" s="148">
        <f>C72-E72</f>
        <v>-12858.939448428893</v>
      </c>
      <c r="H72" s="147">
        <f>(C72/E72)-1</f>
        <v>-0.14149869063814613</v>
      </c>
      <c r="I72" s="163"/>
      <c r="K72" s="20" t="s">
        <v>212</v>
      </c>
      <c r="L72" s="88">
        <f>270112.802116059*(('2022 IR Data Book'!$A$5))</f>
        <v>270112.802116059</v>
      </c>
      <c r="M72" s="146">
        <f>L72/$L$78</f>
        <v>0.49047937879988085</v>
      </c>
      <c r="N72" s="88">
        <f>289480.131088148*(('2022 IR Data Book'!$A$5))</f>
        <v>289480.13108814799</v>
      </c>
      <c r="O72" s="146">
        <f>N72/$N$78</f>
        <v>0.50096468299101293</v>
      </c>
      <c r="P72" s="148">
        <f>L72-N72</f>
        <v>-19367.328972088988</v>
      </c>
      <c r="Q72" s="147">
        <f>(L72/N72)-1</f>
        <v>-6.690382824993113E-2</v>
      </c>
    </row>
    <row r="73" spans="2:17" x14ac:dyDescent="0.2">
      <c r="B73" s="20" t="s">
        <v>213</v>
      </c>
      <c r="C73" s="88">
        <f>10315.4688433679*(('2022 IR Data Book'!$A$5))</f>
        <v>10315.4688433679</v>
      </c>
      <c r="D73" s="146">
        <f t="shared" ref="D73:D76" si="24">C73/$C$78</f>
        <v>6.0227614532494388E-2</v>
      </c>
      <c r="E73" s="88">
        <f>12605.999983089*(('2022 IR Data Book'!$A$5))</f>
        <v>12605.999983088999</v>
      </c>
      <c r="F73" s="146">
        <f t="shared" ref="F73:F76" si="25">E73/$E$78</f>
        <v>6.7827009718883391E-2</v>
      </c>
      <c r="G73" s="148">
        <f t="shared" ref="G73:G76" si="26">C73-E73</f>
        <v>-2290.531139721099</v>
      </c>
      <c r="H73" s="147">
        <f>(C73/E73)-1</f>
        <v>-0.18170166133538446</v>
      </c>
      <c r="I73" s="163"/>
      <c r="K73" s="20" t="s">
        <v>213</v>
      </c>
      <c r="L73" s="88">
        <f>32088.4150341383*(('2022 IR Data Book'!$A$5))</f>
        <v>32088.415034138299</v>
      </c>
      <c r="M73" s="146">
        <f>L73/$L$78</f>
        <v>5.8267160050616489E-2</v>
      </c>
      <c r="N73" s="88">
        <f>37786.9854200644*(('2022 IR Data Book'!$A$5))</f>
        <v>37786.985420064397</v>
      </c>
      <c r="O73" s="146">
        <f>N73/$N$78</f>
        <v>6.5392899681893324E-2</v>
      </c>
      <c r="P73" s="148">
        <f t="shared" ref="P73:P76" si="27">L73-N73</f>
        <v>-5698.5703859260975</v>
      </c>
      <c r="Q73" s="147">
        <f>(L73/N73)-1</f>
        <v>-0.15080775358439236</v>
      </c>
    </row>
    <row r="74" spans="2:17" x14ac:dyDescent="0.2">
      <c r="B74" s="20" t="s">
        <v>214</v>
      </c>
      <c r="C74" s="88">
        <f>72456.6285834996*(('2022 IR Data Book'!$A$5))</f>
        <v>72456.628583499594</v>
      </c>
      <c r="D74" s="146">
        <f t="shared" si="24"/>
        <v>0.42304329186712575</v>
      </c>
      <c r="E74" s="88">
        <f>71713.9793805798*(('2022 IR Data Book'!$A$5))</f>
        <v>71713.979380579796</v>
      </c>
      <c r="F74" s="146">
        <f t="shared" si="25"/>
        <v>0.38585949412594467</v>
      </c>
      <c r="G74" s="82">
        <f t="shared" si="26"/>
        <v>742.64920291979797</v>
      </c>
      <c r="H74" s="83">
        <f>(C74/E74)-1</f>
        <v>1.0355710411475316E-2</v>
      </c>
      <c r="I74" s="163"/>
      <c r="K74" s="20" t="s">
        <v>214</v>
      </c>
      <c r="L74" s="88">
        <f>216706.13928569*(('2022 IR Data Book'!$A$5))</f>
        <v>216706.13928569001</v>
      </c>
      <c r="M74" s="146">
        <f>L74/$L$78</f>
        <v>0.39350186939046394</v>
      </c>
      <c r="N74" s="88">
        <f>214639.729176193*(('2022 IR Data Book'!$A$5))</f>
        <v>214639.72917619301</v>
      </c>
      <c r="O74" s="146">
        <f>N74/$N$78</f>
        <v>0.37144837360629074</v>
      </c>
      <c r="P74" s="82">
        <f t="shared" si="27"/>
        <v>2066.4101094969956</v>
      </c>
      <c r="Q74" s="83">
        <f>(L74/N74)-1</f>
        <v>9.6273421394448278E-3</v>
      </c>
    </row>
    <row r="75" spans="2:17" x14ac:dyDescent="0.2">
      <c r="B75" s="20" t="s">
        <v>215</v>
      </c>
      <c r="C75" s="88">
        <f>9718.14333051106*(('2022 IR Data Book'!$A$5))</f>
        <v>9718.1433305110604</v>
      </c>
      <c r="D75" s="146">
        <f t="shared" si="24"/>
        <v>5.6740086114249404E-2</v>
      </c>
      <c r="E75" s="88">
        <f>10092.8118851086*(('2022 IR Data Book'!$A$5))</f>
        <v>10092.8118851086</v>
      </c>
      <c r="F75" s="146">
        <f t="shared" si="25"/>
        <v>5.4304716066989514E-2</v>
      </c>
      <c r="G75" s="148">
        <f t="shared" si="26"/>
        <v>-374.6685545975397</v>
      </c>
      <c r="H75" s="147">
        <f>(C75/E75)-1</f>
        <v>-3.7122316244726949E-2</v>
      </c>
      <c r="I75" s="163"/>
      <c r="K75" s="20" t="s">
        <v>215</v>
      </c>
      <c r="L75" s="88">
        <f>29613.5341418038*(('2022 IR Data Book'!$A$5))</f>
        <v>29613.534141803801</v>
      </c>
      <c r="M75" s="146">
        <f>L75/$L$78</f>
        <v>5.3773192962916758E-2</v>
      </c>
      <c r="N75" s="88">
        <f>34368.9732566351*(('2022 IR Data Book'!$A$5))</f>
        <v>34368.973256635101</v>
      </c>
      <c r="O75" s="146">
        <f>N75/$N$78</f>
        <v>5.9477801559354539E-2</v>
      </c>
      <c r="P75" s="148">
        <f t="shared" si="27"/>
        <v>-4755.4391148313007</v>
      </c>
      <c r="Q75" s="147">
        <f>(L75/N75)-1</f>
        <v>-0.13836430548338363</v>
      </c>
    </row>
    <row r="76" spans="2:17" x14ac:dyDescent="0.2">
      <c r="B76" s="20" t="s">
        <v>216</v>
      </c>
      <c r="C76" s="88">
        <f>766.69767586778*(('2022 IR Data Book'!$A$5))</f>
        <v>766.69767586778005</v>
      </c>
      <c r="D76" s="146">
        <f t="shared" si="24"/>
        <v>4.4764201013327712E-3</v>
      </c>
      <c r="E76" s="88">
        <f>565.634197193835*(('2022 IR Data Book'!$A$5))</f>
        <v>565.63419719383501</v>
      </c>
      <c r="F76" s="146">
        <f t="shared" si="25"/>
        <v>3.0434139490612584E-3</v>
      </c>
      <c r="G76" s="148">
        <f t="shared" si="26"/>
        <v>201.06347867394504</v>
      </c>
      <c r="H76" s="147">
        <f>(C76/E76)-1</f>
        <v>0.35546556355934644</v>
      </c>
      <c r="I76" s="163"/>
      <c r="K76" s="20" t="s">
        <v>216</v>
      </c>
      <c r="L76" s="88">
        <f>2190.95132885102*(('2022 IR Data Book'!$A$5))</f>
        <v>2190.9513288510202</v>
      </c>
      <c r="M76" s="146">
        <f>L76/$L$78</f>
        <v>3.9783987961218249E-3</v>
      </c>
      <c r="N76" s="88">
        <f>1569.56800281541*(('2022 IR Data Book'!$A$5))</f>
        <v>1569.56800281541</v>
      </c>
      <c r="O76" s="146">
        <f>N76/$N$78</f>
        <v>2.7162421614484755E-3</v>
      </c>
      <c r="P76" s="148">
        <f t="shared" si="27"/>
        <v>621.38332603561025</v>
      </c>
      <c r="Q76" s="147">
        <f>(L76/N76)-1</f>
        <v>0.39589449130015719</v>
      </c>
    </row>
    <row r="77" spans="2:17" x14ac:dyDescent="0.2">
      <c r="C77" s="88"/>
      <c r="D77" s="146"/>
      <c r="E77" s="88"/>
      <c r="F77" s="146"/>
      <c r="G77" s="148"/>
      <c r="H77" s="147"/>
      <c r="I77" s="163"/>
      <c r="L77" s="88"/>
      <c r="M77" s="146"/>
      <c r="N77" s="88"/>
      <c r="O77" s="146"/>
      <c r="P77" s="148"/>
      <c r="Q77" s="147"/>
    </row>
    <row r="78" spans="2:17" ht="15.75" x14ac:dyDescent="0.25">
      <c r="B78" s="138" t="s">
        <v>217</v>
      </c>
      <c r="C78" s="89">
        <f>SUM(C72:C76)</f>
        <v>171274.73706936263</v>
      </c>
      <c r="D78" s="187">
        <f>C78/$C$78</f>
        <v>1</v>
      </c>
      <c r="E78" s="89">
        <f>SUM(E72:E76)</f>
        <v>185855.16353051644</v>
      </c>
      <c r="F78" s="146">
        <f>E78/$E$78</f>
        <v>1</v>
      </c>
      <c r="G78" s="149">
        <f>C78-E78</f>
        <v>-14580.426461153809</v>
      </c>
      <c r="H78" s="150">
        <f>(C78/E78)-1</f>
        <v>-7.8450478233604626E-2</v>
      </c>
      <c r="I78" s="241"/>
      <c r="K78" s="138" t="s">
        <v>217</v>
      </c>
      <c r="L78" s="89">
        <f>SUM(L72:L76)</f>
        <v>550711.84190654219</v>
      </c>
      <c r="M78" s="146">
        <f>L78/$L$78</f>
        <v>1</v>
      </c>
      <c r="N78" s="89">
        <f>SUM(N72:N76)</f>
        <v>577845.3869438559</v>
      </c>
      <c r="O78" s="146">
        <f>N78/$N$78</f>
        <v>1</v>
      </c>
      <c r="P78" s="149">
        <f>L78-N78</f>
        <v>-27133.545037313714</v>
      </c>
      <c r="Q78" s="150">
        <f>(L78/N78)-1</f>
        <v>-4.6956410227343426E-2</v>
      </c>
    </row>
    <row r="79" spans="2:17" x14ac:dyDescent="0.2">
      <c r="C79" s="88">
        <v>0</v>
      </c>
      <c r="D79" s="151"/>
      <c r="E79" s="88">
        <v>0</v>
      </c>
      <c r="F79" s="151"/>
      <c r="G79" s="189"/>
      <c r="H79" s="147"/>
      <c r="I79" s="241"/>
      <c r="L79" s="88">
        <v>0</v>
      </c>
      <c r="M79" s="151"/>
      <c r="N79" s="88">
        <v>0</v>
      </c>
      <c r="O79" s="151"/>
      <c r="P79" s="189"/>
      <c r="Q79" s="147"/>
    </row>
    <row r="80" spans="2:17" ht="15.75" x14ac:dyDescent="0.25">
      <c r="B80" s="138" t="s">
        <v>34</v>
      </c>
      <c r="C80" s="89">
        <f>25116.1945510864*(('2022 IR Data Book'!$A$5))</f>
        <v>25116.194551086399</v>
      </c>
      <c r="D80" s="146">
        <f>C80/$C$78</f>
        <v>0.14664272723953956</v>
      </c>
      <c r="E80" s="89">
        <f>32331.0270278229*(('2022 IR Data Book'!$A$5))</f>
        <v>32331.0270278229</v>
      </c>
      <c r="F80" s="146">
        <f>E80/$E$78</f>
        <v>0.17395818557666445</v>
      </c>
      <c r="G80" s="149">
        <f>C80-E80</f>
        <v>-7214.8324767365011</v>
      </c>
      <c r="H80" s="150">
        <f>(C80/E80)-1</f>
        <v>-0.22315506620088743</v>
      </c>
      <c r="I80" s="163"/>
      <c r="K80" s="138" t="s">
        <v>34</v>
      </c>
      <c r="L80" s="89">
        <f>92855.0985900927*(('2022 IR Data Book'!$A$5))</f>
        <v>92855.098590092704</v>
      </c>
      <c r="M80" s="146">
        <f>L80/$L$78</f>
        <v>0.16860922813759024</v>
      </c>
      <c r="N80" s="89">
        <f>97710.919363424*(('2022 IR Data Book'!$A$5))</f>
        <v>97710.919363423993</v>
      </c>
      <c r="O80" s="146">
        <f>N80/$N$78</f>
        <v>0.16909526591568635</v>
      </c>
      <c r="P80" s="149">
        <f>L80-N80</f>
        <v>-4855.8207733312884</v>
      </c>
      <c r="Q80" s="150">
        <f>(L80/N80)-1</f>
        <v>-4.9695784309127689E-2</v>
      </c>
    </row>
    <row r="81" spans="2:17" x14ac:dyDescent="0.2">
      <c r="I81" s="163"/>
    </row>
    <row r="82" spans="2:17" x14ac:dyDescent="0.2">
      <c r="B82" s="72" t="s">
        <v>218</v>
      </c>
      <c r="C82" s="161" t="str">
        <f>$C$6</f>
        <v>Q3'22</v>
      </c>
      <c r="D82" s="143"/>
      <c r="E82" s="161" t="str">
        <f>$E$6</f>
        <v>Q3'21</v>
      </c>
      <c r="G82" s="188" t="s">
        <v>211</v>
      </c>
      <c r="H82" s="161" t="s">
        <v>30</v>
      </c>
      <c r="I82" s="163"/>
      <c r="K82" s="72" t="s">
        <v>218</v>
      </c>
      <c r="L82" s="161" t="str">
        <f>$L$6</f>
        <v>Sep YTD 2022</v>
      </c>
      <c r="M82" s="143"/>
      <c r="N82" s="161" t="str">
        <f>$N$6</f>
        <v>Sep YTD 2021</v>
      </c>
      <c r="P82" s="188" t="s">
        <v>211</v>
      </c>
      <c r="Q82" s="161" t="s">
        <v>30</v>
      </c>
    </row>
    <row r="83" spans="2:17" ht="15.75" x14ac:dyDescent="0.25">
      <c r="B83" s="153" t="s">
        <v>219</v>
      </c>
      <c r="C83" s="84">
        <v>872</v>
      </c>
      <c r="D83" s="84"/>
      <c r="E83" s="84">
        <v>4687</v>
      </c>
      <c r="F83" s="91"/>
      <c r="G83" s="148">
        <f t="shared" ref="G83:G85" si="28">C83-E83</f>
        <v>-3815</v>
      </c>
      <c r="H83" s="147">
        <f t="shared" ref="H83:H85" si="29">(C83/E83)-1</f>
        <v>-0.81395348837209303</v>
      </c>
      <c r="I83" s="164"/>
      <c r="K83" s="153" t="s">
        <v>219</v>
      </c>
      <c r="L83" s="84">
        <v>6429</v>
      </c>
      <c r="M83" s="84"/>
      <c r="N83" s="84">
        <v>13715</v>
      </c>
      <c r="O83" s="91"/>
      <c r="P83" s="148">
        <f t="shared" ref="P83:P85" si="30">L83-N83</f>
        <v>-7286</v>
      </c>
      <c r="Q83" s="147">
        <f t="shared" ref="Q83:Q85" si="31">(L83/N83)-1</f>
        <v>-0.53124316441851982</v>
      </c>
    </row>
    <row r="84" spans="2:17" ht="15.75" x14ac:dyDescent="0.25">
      <c r="B84" s="138" t="s">
        <v>212</v>
      </c>
      <c r="C84" s="162">
        <v>1258279</v>
      </c>
      <c r="D84" s="85"/>
      <c r="E84" s="162">
        <v>1125929</v>
      </c>
      <c r="F84" s="152"/>
      <c r="G84" s="148">
        <f t="shared" si="28"/>
        <v>132350</v>
      </c>
      <c r="H84" s="147">
        <f t="shared" si="29"/>
        <v>0.11754737643314983</v>
      </c>
      <c r="I84" s="163"/>
      <c r="K84" s="138" t="s">
        <v>212</v>
      </c>
      <c r="L84" s="162">
        <v>3916887</v>
      </c>
      <c r="M84" s="85"/>
      <c r="N84" s="162">
        <v>3765075</v>
      </c>
      <c r="O84" s="152"/>
      <c r="P84" s="148">
        <f t="shared" si="30"/>
        <v>151812</v>
      </c>
      <c r="Q84" s="147">
        <f t="shared" si="31"/>
        <v>4.0321109141252087E-2</v>
      </c>
    </row>
    <row r="85" spans="2:17" x14ac:dyDescent="0.2">
      <c r="B85" s="155"/>
      <c r="C85" s="156">
        <f>C84+C83</f>
        <v>1259151</v>
      </c>
      <c r="D85" s="155"/>
      <c r="E85" s="156">
        <f>E84+E83</f>
        <v>1130616</v>
      </c>
      <c r="F85" s="155"/>
      <c r="G85" s="148">
        <f t="shared" si="28"/>
        <v>128535</v>
      </c>
      <c r="H85" s="147">
        <f t="shared" si="29"/>
        <v>0.11368581375108788</v>
      </c>
      <c r="I85" s="165"/>
      <c r="K85" s="155"/>
      <c r="L85" s="156">
        <f>L84+L83</f>
        <v>3923316</v>
      </c>
      <c r="M85" s="155"/>
      <c r="N85" s="156">
        <f>N84+N83</f>
        <v>3778790</v>
      </c>
      <c r="O85" s="155"/>
      <c r="P85" s="148">
        <f t="shared" si="30"/>
        <v>144526</v>
      </c>
      <c r="Q85" s="147">
        <f t="shared" si="31"/>
        <v>3.8246634504695898E-2</v>
      </c>
    </row>
    <row r="86" spans="2:17" x14ac:dyDescent="0.2">
      <c r="I86" s="163"/>
    </row>
    <row r="87" spans="2:17" ht="18.75" x14ac:dyDescent="0.3">
      <c r="B87" s="142" t="s">
        <v>201</v>
      </c>
      <c r="I87" s="163"/>
      <c r="K87" s="142" t="s">
        <v>201</v>
      </c>
    </row>
    <row r="88" spans="2:17" x14ac:dyDescent="0.2">
      <c r="B88" s="59" t="str">
        <f>$B$3</f>
        <v xml:space="preserve">Q3'22 vs Q3'21 </v>
      </c>
      <c r="I88" s="163"/>
      <c r="K88" s="59" t="str">
        <f>$B$3</f>
        <v xml:space="preserve">Q3'22 vs Q3'21 </v>
      </c>
    </row>
    <row r="89" spans="2:17" x14ac:dyDescent="0.2">
      <c r="B89" s="51" t="s">
        <v>209</v>
      </c>
      <c r="I89" s="163"/>
      <c r="K89" s="51" t="s">
        <v>209</v>
      </c>
    </row>
    <row r="90" spans="2:17" x14ac:dyDescent="0.2">
      <c r="C90" s="161" t="s">
        <v>210</v>
      </c>
      <c r="D90" s="143"/>
      <c r="E90" s="161" t="s">
        <v>210</v>
      </c>
      <c r="I90" s="163"/>
      <c r="L90" s="161" t="s">
        <v>210</v>
      </c>
      <c r="M90" s="143"/>
      <c r="N90" s="161" t="s">
        <v>210</v>
      </c>
    </row>
    <row r="91" spans="2:17" x14ac:dyDescent="0.2">
      <c r="B91" s="144"/>
      <c r="C91" s="161" t="str">
        <f>$C$6</f>
        <v>Q3'22</v>
      </c>
      <c r="D91" s="143"/>
      <c r="E91" s="161" t="str">
        <f>$E$6</f>
        <v>Q3'21</v>
      </c>
      <c r="G91" s="188" t="s">
        <v>211</v>
      </c>
      <c r="H91" s="161" t="s">
        <v>30</v>
      </c>
      <c r="I91" s="163"/>
      <c r="K91" s="144"/>
      <c r="L91" s="161" t="str">
        <f>$L$6</f>
        <v>Sep YTD 2022</v>
      </c>
      <c r="M91" s="143"/>
      <c r="N91" s="161" t="str">
        <f>$N$6</f>
        <v>Sep YTD 2021</v>
      </c>
      <c r="P91" s="188" t="s">
        <v>211</v>
      </c>
      <c r="Q91" s="161" t="s">
        <v>30</v>
      </c>
    </row>
    <row r="92" spans="2:17" x14ac:dyDescent="0.2">
      <c r="H92" s="145"/>
      <c r="I92" s="163"/>
      <c r="Q92" s="145"/>
    </row>
    <row r="93" spans="2:17" x14ac:dyDescent="0.2">
      <c r="B93" s="20" t="s">
        <v>212</v>
      </c>
      <c r="C93" s="88">
        <f>60904.104725586*(('2022 IR Data Book'!$A$5))</f>
        <v>60904.104725586003</v>
      </c>
      <c r="D93" s="146">
        <f>C93/$C$99</f>
        <v>0.8160524105119088</v>
      </c>
      <c r="E93" s="88">
        <f>57629.8170267226*(('2022 IR Data Book'!$A$5))</f>
        <v>57629.817026722601</v>
      </c>
      <c r="F93" s="146">
        <f>E93/$E$99</f>
        <v>0.87235653171203498</v>
      </c>
      <c r="G93" s="148">
        <f>C93-E93</f>
        <v>3274.2876988634016</v>
      </c>
      <c r="H93" s="147">
        <f>(C93/E93)-1</f>
        <v>5.6815861437580661E-2</v>
      </c>
      <c r="I93" s="163"/>
      <c r="K93" s="20" t="s">
        <v>212</v>
      </c>
      <c r="L93" s="88">
        <f>190432.081820659*(('2022 IR Data Book'!$A$5))</f>
        <v>190432.08182065899</v>
      </c>
      <c r="M93" s="146">
        <f>L93/$L$99</f>
        <v>0.84419459950854381</v>
      </c>
      <c r="N93" s="88">
        <f>196753.485228792*(('2022 IR Data Book'!$A$5))</f>
        <v>196753.48522879201</v>
      </c>
      <c r="O93" s="146">
        <f>N93/$N$99</f>
        <v>0.91759376156223826</v>
      </c>
      <c r="P93" s="148">
        <f>L93-N93</f>
        <v>-6321.4034081330174</v>
      </c>
      <c r="Q93" s="147">
        <f>(L93/N93)-1</f>
        <v>-3.212854603709947E-2</v>
      </c>
    </row>
    <row r="94" spans="2:17" x14ac:dyDescent="0.2">
      <c r="B94" s="20" t="s">
        <v>213</v>
      </c>
      <c r="C94" s="88">
        <f>0*(('2022 IR Data Book'!$A$5))</f>
        <v>0</v>
      </c>
      <c r="D94" s="146">
        <f t="shared" ref="D94:D97" si="32">C94/$C$99</f>
        <v>0</v>
      </c>
      <c r="E94" s="88">
        <f>0*(('2022 IR Data Book'!$A$5))</f>
        <v>0</v>
      </c>
      <c r="F94" s="146">
        <f t="shared" ref="F94:F97" si="33">E94/$E$99</f>
        <v>0</v>
      </c>
      <c r="G94" s="148">
        <f t="shared" ref="G94:G97" si="34">C94-E94</f>
        <v>0</v>
      </c>
      <c r="H94" s="147" t="e">
        <f>(C94/E94)-1</f>
        <v>#DIV/0!</v>
      </c>
      <c r="I94" s="163"/>
      <c r="K94" s="20" t="s">
        <v>213</v>
      </c>
      <c r="L94" s="88">
        <f>0*(('2022 IR Data Book'!$A$5))</f>
        <v>0</v>
      </c>
      <c r="M94" s="146">
        <f>L94/$L$99</f>
        <v>0</v>
      </c>
      <c r="N94" s="88">
        <f>0*(('2022 IR Data Book'!$A$5))</f>
        <v>0</v>
      </c>
      <c r="O94" s="146">
        <f>N94/$N$99</f>
        <v>0</v>
      </c>
      <c r="P94" s="148">
        <f t="shared" ref="P94:P97" si="35">L94-N94</f>
        <v>0</v>
      </c>
      <c r="Q94" s="147" t="e">
        <f>(L94/N94)-1</f>
        <v>#DIV/0!</v>
      </c>
    </row>
    <row r="95" spans="2:17" x14ac:dyDescent="0.2">
      <c r="B95" s="20" t="s">
        <v>214</v>
      </c>
      <c r="C95" s="88">
        <f>13432.1232664688*(('2022 IR Data Book'!$A$5))</f>
        <v>13432.1232664688</v>
      </c>
      <c r="D95" s="146">
        <f t="shared" si="32"/>
        <v>0.17997664721094037</v>
      </c>
      <c r="E95" s="88">
        <f>7790.90754053171*(('2022 IR Data Book'!$A$5))</f>
        <v>7790.9075405317099</v>
      </c>
      <c r="F95" s="146">
        <f t="shared" si="33"/>
        <v>0.11793285891912358</v>
      </c>
      <c r="G95" s="82">
        <f t="shared" si="34"/>
        <v>5641.2157259370897</v>
      </c>
      <c r="H95" s="83">
        <f>(C95/E95)-1</f>
        <v>0.72407684170156261</v>
      </c>
      <c r="I95" s="163"/>
      <c r="K95" s="20" t="s">
        <v>214</v>
      </c>
      <c r="L95" s="88">
        <f>33363.7112075267*(('2022 IR Data Book'!$A$5))</f>
        <v>33363.7112075267</v>
      </c>
      <c r="M95" s="146">
        <f>L95/$L$99</f>
        <v>0.1479029402592037</v>
      </c>
      <c r="N95" s="88">
        <f>16552.3517973764*(('2022 IR Data Book'!$A$5))</f>
        <v>16552.351797376399</v>
      </c>
      <c r="O95" s="146">
        <f>N95/$N$99</f>
        <v>7.7194743111129865E-2</v>
      </c>
      <c r="P95" s="82">
        <f t="shared" si="35"/>
        <v>16811.3594101503</v>
      </c>
      <c r="Q95" s="83">
        <f>(L95/N95)-1</f>
        <v>1.0156477832240705</v>
      </c>
    </row>
    <row r="96" spans="2:17" x14ac:dyDescent="0.2">
      <c r="B96" s="20" t="s">
        <v>215</v>
      </c>
      <c r="C96" s="88">
        <f>0*(('2022 IR Data Book'!$A$5))</f>
        <v>0</v>
      </c>
      <c r="D96" s="146">
        <f t="shared" si="32"/>
        <v>0</v>
      </c>
      <c r="E96" s="88">
        <f>0*(('2022 IR Data Book'!$A$5))</f>
        <v>0</v>
      </c>
      <c r="F96" s="146">
        <f t="shared" si="33"/>
        <v>0</v>
      </c>
      <c r="G96" s="148">
        <f t="shared" si="34"/>
        <v>0</v>
      </c>
      <c r="H96" s="147" t="e">
        <f>(C96/E96)-1</f>
        <v>#DIV/0!</v>
      </c>
      <c r="I96" s="163"/>
      <c r="K96" s="20" t="s">
        <v>215</v>
      </c>
      <c r="L96" s="88">
        <f>0*(('2022 IR Data Book'!$A$5))</f>
        <v>0</v>
      </c>
      <c r="M96" s="146">
        <f>L96/$L$99</f>
        <v>0</v>
      </c>
      <c r="N96" s="88">
        <f>0*(('2022 IR Data Book'!$A$5))</f>
        <v>0</v>
      </c>
      <c r="O96" s="146">
        <f>N96/$N$99</f>
        <v>0</v>
      </c>
      <c r="P96" s="148">
        <f t="shared" si="35"/>
        <v>0</v>
      </c>
      <c r="Q96" s="147" t="e">
        <f>(L96/N96)-1</f>
        <v>#DIV/0!</v>
      </c>
    </row>
    <row r="97" spans="2:17" x14ac:dyDescent="0.2">
      <c r="B97" s="20" t="s">
        <v>216</v>
      </c>
      <c r="C97" s="88">
        <f>296.361705684*(('2022 IR Data Book'!$A$5))</f>
        <v>296.36170568400001</v>
      </c>
      <c r="D97" s="146">
        <f t="shared" si="32"/>
        <v>3.970942277150797E-3</v>
      </c>
      <c r="E97" s="88">
        <f>641.504500512*(('2022 IR Data Book'!$A$5))</f>
        <v>641.50450051200005</v>
      </c>
      <c r="F97" s="146">
        <f t="shared" si="33"/>
        <v>9.7106093688414281E-3</v>
      </c>
      <c r="G97" s="148">
        <f t="shared" si="34"/>
        <v>-345.14279482800004</v>
      </c>
      <c r="H97" s="147">
        <f>(C97/E97)-1</f>
        <v>-0.53802084716870002</v>
      </c>
      <c r="I97" s="163"/>
      <c r="K97" s="20" t="s">
        <v>216</v>
      </c>
      <c r="L97" s="88">
        <f>1782.624473562*(('2022 IR Data Book'!$A$5))</f>
        <v>1782.624473562</v>
      </c>
      <c r="M97" s="146">
        <f>L97/$L$99</f>
        <v>7.9024602322524447E-3</v>
      </c>
      <c r="N97" s="88">
        <f>1117.46604186*(('2022 IR Data Book'!$A$5))</f>
        <v>1117.4660418599999</v>
      </c>
      <c r="O97" s="146">
        <f>N97/$N$99</f>
        <v>5.2114953266318735E-3</v>
      </c>
      <c r="P97" s="148">
        <f t="shared" si="35"/>
        <v>665.15843170200014</v>
      </c>
      <c r="Q97" s="147">
        <f>(L97/N97)-1</f>
        <v>0.59523816096895188</v>
      </c>
    </row>
    <row r="98" spans="2:17" x14ac:dyDescent="0.2">
      <c r="C98" s="88"/>
      <c r="D98" s="146"/>
      <c r="E98" s="88"/>
      <c r="F98" s="146"/>
      <c r="G98" s="148"/>
      <c r="H98" s="147"/>
      <c r="I98" s="163"/>
      <c r="L98" s="88"/>
      <c r="M98" s="146"/>
      <c r="N98" s="88"/>
      <c r="O98" s="146"/>
      <c r="P98" s="148"/>
      <c r="Q98" s="147"/>
    </row>
    <row r="99" spans="2:17" ht="15.75" x14ac:dyDescent="0.25">
      <c r="B99" s="138" t="s">
        <v>217</v>
      </c>
      <c r="C99" s="89">
        <f>SUM(C93:C97)</f>
        <v>74632.589697738804</v>
      </c>
      <c r="D99" s="146">
        <f>C99/$C$99</f>
        <v>1</v>
      </c>
      <c r="E99" s="89">
        <f>SUM(E93:E97)</f>
        <v>66062.229067766311</v>
      </c>
      <c r="F99" s="146">
        <f>E99/$E$99</f>
        <v>1</v>
      </c>
      <c r="G99" s="149">
        <f>C99-E99</f>
        <v>8570.3606299724925</v>
      </c>
      <c r="H99" s="150">
        <f>(C99/E99)-1</f>
        <v>0.12973162956976614</v>
      </c>
      <c r="I99" s="241"/>
      <c r="K99" s="138" t="s">
        <v>217</v>
      </c>
      <c r="L99" s="89">
        <f>SUM(L93:L97)</f>
        <v>225578.4175017477</v>
      </c>
      <c r="M99" s="146">
        <f>L99/$L$99</f>
        <v>1</v>
      </c>
      <c r="N99" s="89">
        <f>SUM(N93:N97)</f>
        <v>214423.30306802841</v>
      </c>
      <c r="O99" s="146">
        <f>N99/$N$99</f>
        <v>1</v>
      </c>
      <c r="P99" s="149">
        <f>L99-N99</f>
        <v>11155.114433719282</v>
      </c>
      <c r="Q99" s="150">
        <f>(L99/N99)-1</f>
        <v>5.2023797199785671E-2</v>
      </c>
    </row>
    <row r="100" spans="2:17" x14ac:dyDescent="0.2">
      <c r="C100" s="88">
        <v>0</v>
      </c>
      <c r="D100" s="151"/>
      <c r="E100" s="88">
        <v>0</v>
      </c>
      <c r="F100" s="151"/>
      <c r="G100" s="189"/>
      <c r="H100" s="147"/>
      <c r="I100" s="241"/>
      <c r="L100" s="88">
        <v>0</v>
      </c>
      <c r="M100" s="151"/>
      <c r="N100" s="88">
        <v>0</v>
      </c>
      <c r="O100" s="151"/>
      <c r="P100" s="189"/>
      <c r="Q100" s="147"/>
    </row>
    <row r="101" spans="2:17" ht="15.75" x14ac:dyDescent="0.25">
      <c r="B101" s="138" t="s">
        <v>34</v>
      </c>
      <c r="C101" s="89">
        <f>15381.1804148288*(('2022 IR Data Book'!$A$5))</f>
        <v>15381.180414828799</v>
      </c>
      <c r="D101" s="146">
        <f>C101/$C$99</f>
        <v>0.20609200989972901</v>
      </c>
      <c r="E101" s="89">
        <f>10910.5643850556*(('2022 IR Data Book'!$A$5))</f>
        <v>10910.564385055601</v>
      </c>
      <c r="F101" s="146">
        <f>E101/$E$99</f>
        <v>0.16515586196559606</v>
      </c>
      <c r="G101" s="149">
        <f>C101-E101</f>
        <v>4470.6160297731985</v>
      </c>
      <c r="H101" s="150">
        <f>(C101/E101)-1</f>
        <v>0.40975112487275944</v>
      </c>
      <c r="I101" s="163"/>
      <c r="K101" s="138" t="s">
        <v>34</v>
      </c>
      <c r="L101" s="89">
        <f>35062.4323108253*(('2022 IR Data Book'!$A$5))</f>
        <v>35062.432310825301</v>
      </c>
      <c r="M101" s="146">
        <f>L101/$L$99</f>
        <v>0.15543345280606755</v>
      </c>
      <c r="N101" s="89">
        <f>30867.0287543853*(('2022 IR Data Book'!$A$5))</f>
        <v>30867.028754385301</v>
      </c>
      <c r="O101" s="146">
        <f>N101/$N$99</f>
        <v>0.14395370425103637</v>
      </c>
      <c r="P101" s="149">
        <f>L101-N101</f>
        <v>4195.4035564400001</v>
      </c>
      <c r="Q101" s="150">
        <f>(L101/N101)-1</f>
        <v>0.13591860719162852</v>
      </c>
    </row>
    <row r="102" spans="2:17" x14ac:dyDescent="0.2">
      <c r="I102" s="163"/>
    </row>
    <row r="103" spans="2:17" x14ac:dyDescent="0.2">
      <c r="B103" s="72" t="s">
        <v>218</v>
      </c>
      <c r="C103" s="161" t="str">
        <f>$C$6</f>
        <v>Q3'22</v>
      </c>
      <c r="D103" s="143"/>
      <c r="E103" s="161" t="str">
        <f>$E$6</f>
        <v>Q3'21</v>
      </c>
      <c r="G103" s="188" t="s">
        <v>211</v>
      </c>
      <c r="H103" s="161" t="s">
        <v>30</v>
      </c>
      <c r="I103" s="163"/>
      <c r="K103" s="72" t="s">
        <v>218</v>
      </c>
      <c r="L103" s="161" t="str">
        <f>$L$6</f>
        <v>Sep YTD 2022</v>
      </c>
      <c r="M103" s="143"/>
      <c r="N103" s="161" t="str">
        <f>$N$6</f>
        <v>Sep YTD 2021</v>
      </c>
      <c r="P103" s="188" t="s">
        <v>211</v>
      </c>
      <c r="Q103" s="161" t="s">
        <v>30</v>
      </c>
    </row>
    <row r="104" spans="2:17" ht="15.75" x14ac:dyDescent="0.25">
      <c r="B104" s="153" t="s">
        <v>219</v>
      </c>
      <c r="C104" s="84">
        <v>0</v>
      </c>
      <c r="D104" s="84"/>
      <c r="E104" s="84">
        <v>0</v>
      </c>
      <c r="F104" s="91"/>
      <c r="G104" s="148">
        <f t="shared" ref="G104:G106" si="36">C104-E104</f>
        <v>0</v>
      </c>
      <c r="H104" s="147" t="e">
        <f t="shared" ref="H104:H106" si="37">(C104/E104)-1</f>
        <v>#DIV/0!</v>
      </c>
      <c r="I104" s="164"/>
      <c r="K104" s="153" t="s">
        <v>219</v>
      </c>
      <c r="L104" s="84">
        <v>0</v>
      </c>
      <c r="M104" s="84"/>
      <c r="N104" s="84">
        <v>0</v>
      </c>
      <c r="O104" s="91"/>
      <c r="P104" s="148">
        <f t="shared" ref="P104:P106" si="38">L104-N104</f>
        <v>0</v>
      </c>
      <c r="Q104" s="147" t="e">
        <f t="shared" ref="Q104:Q106" si="39">(L104/N104)-1</f>
        <v>#DIV/0!</v>
      </c>
    </row>
    <row r="105" spans="2:17" ht="15.75" x14ac:dyDescent="0.25">
      <c r="B105" s="138" t="s">
        <v>212</v>
      </c>
      <c r="C105" s="162">
        <v>986158</v>
      </c>
      <c r="D105" s="85"/>
      <c r="E105" s="162">
        <v>1090283</v>
      </c>
      <c r="F105" s="152"/>
      <c r="G105" s="148">
        <f t="shared" si="36"/>
        <v>-104125</v>
      </c>
      <c r="H105" s="147">
        <v>-4.6455756302732354E-3</v>
      </c>
      <c r="I105" s="163"/>
      <c r="K105" s="138" t="s">
        <v>212</v>
      </c>
      <c r="L105" s="162">
        <v>3352447</v>
      </c>
      <c r="M105" s="85"/>
      <c r="N105" s="162">
        <v>3402375</v>
      </c>
      <c r="O105" s="152"/>
      <c r="P105" s="148">
        <f t="shared" si="38"/>
        <v>-49928</v>
      </c>
      <c r="Q105" s="147">
        <v>2.3440676236066826E-2</v>
      </c>
    </row>
    <row r="106" spans="2:17" x14ac:dyDescent="0.2">
      <c r="B106" s="155"/>
      <c r="C106" s="156">
        <f>C105+C104</f>
        <v>986158</v>
      </c>
      <c r="D106" s="155"/>
      <c r="E106" s="156">
        <f>E105+E104</f>
        <v>1090283</v>
      </c>
      <c r="F106" s="155"/>
      <c r="G106" s="148">
        <f t="shared" si="36"/>
        <v>-104125</v>
      </c>
      <c r="H106" s="147">
        <f t="shared" si="37"/>
        <v>-9.5502727273561128E-2</v>
      </c>
      <c r="I106" s="165"/>
      <c r="K106" s="155"/>
      <c r="L106" s="156">
        <f>L105+L104</f>
        <v>3352447</v>
      </c>
      <c r="M106" s="155"/>
      <c r="N106" s="156">
        <f>N105+N104</f>
        <v>3402375</v>
      </c>
      <c r="O106" s="155"/>
      <c r="P106" s="148">
        <f t="shared" si="38"/>
        <v>-49928</v>
      </c>
      <c r="Q106" s="147">
        <f t="shared" si="39"/>
        <v>-1.4674455343693715E-2</v>
      </c>
    </row>
    <row r="107" spans="2:17" x14ac:dyDescent="0.2">
      <c r="I107" s="163"/>
    </row>
    <row r="108" spans="2:17" ht="18.75" x14ac:dyDescent="0.3">
      <c r="B108" s="142" t="s">
        <v>221</v>
      </c>
      <c r="I108" s="163"/>
      <c r="K108" s="142" t="s">
        <v>221</v>
      </c>
    </row>
    <row r="109" spans="2:17" x14ac:dyDescent="0.2">
      <c r="B109" s="59" t="str">
        <f>$B$3</f>
        <v xml:space="preserve">Q3'22 vs Q3'21 </v>
      </c>
      <c r="I109" s="163"/>
      <c r="K109" s="59" t="str">
        <f>$B$3</f>
        <v xml:space="preserve">Q3'22 vs Q3'21 </v>
      </c>
    </row>
    <row r="110" spans="2:17" x14ac:dyDescent="0.2">
      <c r="B110" s="51" t="s">
        <v>209</v>
      </c>
      <c r="I110" s="163"/>
      <c r="K110" s="51" t="s">
        <v>209</v>
      </c>
    </row>
    <row r="111" spans="2:17" x14ac:dyDescent="0.2">
      <c r="C111" s="161" t="s">
        <v>210</v>
      </c>
      <c r="D111" s="143"/>
      <c r="E111" s="161" t="s">
        <v>210</v>
      </c>
      <c r="I111" s="163"/>
      <c r="L111" s="161" t="s">
        <v>210</v>
      </c>
      <c r="M111" s="143"/>
      <c r="N111" s="161" t="s">
        <v>210</v>
      </c>
    </row>
    <row r="112" spans="2:17" x14ac:dyDescent="0.2">
      <c r="B112" s="144"/>
      <c r="C112" s="161" t="str">
        <f>$C$6</f>
        <v>Q3'22</v>
      </c>
      <c r="D112" s="143"/>
      <c r="E112" s="161" t="str">
        <f>$E$6</f>
        <v>Q3'21</v>
      </c>
      <c r="G112" s="188" t="s">
        <v>211</v>
      </c>
      <c r="H112" s="161" t="s">
        <v>30</v>
      </c>
      <c r="I112" s="163"/>
      <c r="K112" s="144"/>
      <c r="L112" s="161" t="str">
        <f>$L$6</f>
        <v>Sep YTD 2022</v>
      </c>
      <c r="M112" s="143"/>
      <c r="N112" s="161" t="str">
        <f>$N$6</f>
        <v>Sep YTD 2021</v>
      </c>
      <c r="P112" s="188" t="s">
        <v>211</v>
      </c>
      <c r="Q112" s="161" t="s">
        <v>30</v>
      </c>
    </row>
    <row r="113" spans="2:17" x14ac:dyDescent="0.2">
      <c r="H113" s="145"/>
      <c r="I113" s="163"/>
      <c r="Q113" s="145"/>
    </row>
    <row r="114" spans="2:17" x14ac:dyDescent="0.2">
      <c r="B114" s="20" t="s">
        <v>212</v>
      </c>
      <c r="C114" s="88">
        <f>50071.2832281391*(('2022 IR Data Book'!$A$5))</f>
        <v>50071.283228139102</v>
      </c>
      <c r="D114" s="146">
        <f>C114/$C$120</f>
        <v>0.89793270854331142</v>
      </c>
      <c r="E114" s="88">
        <f>106664.285141814*(('2022 IR Data Book'!$A$5))</f>
        <v>106664.28514181401</v>
      </c>
      <c r="F114" s="146">
        <f>E114/$E$120</f>
        <v>0.97942972525048566</v>
      </c>
      <c r="G114" s="148">
        <f>C114-E114</f>
        <v>-56593.001913674903</v>
      </c>
      <c r="H114" s="147">
        <f>(C114/E114)-1</f>
        <v>-0.53057123889624791</v>
      </c>
      <c r="I114" s="163"/>
      <c r="K114" s="20" t="s">
        <v>212</v>
      </c>
      <c r="L114" s="88">
        <f>219589.75617066*(('2022 IR Data Book'!$A$5))</f>
        <v>219589.75617066</v>
      </c>
      <c r="M114" s="146">
        <f>L114/$L$120</f>
        <v>0.92903759088688487</v>
      </c>
      <c r="N114" s="88">
        <f>422512.455894977*(('2022 IR Data Book'!$A$5))</f>
        <v>422512.45589497703</v>
      </c>
      <c r="O114" s="146">
        <f>N114/$N$120</f>
        <v>0.98313700341287502</v>
      </c>
      <c r="P114" s="148">
        <f>L114-N114</f>
        <v>-202922.69972431703</v>
      </c>
      <c r="Q114" s="147">
        <f>(L114/N114)-1</f>
        <v>-0.48027625432836252</v>
      </c>
    </row>
    <row r="115" spans="2:17" x14ac:dyDescent="0.2">
      <c r="B115" s="20" t="s">
        <v>213</v>
      </c>
      <c r="C115" s="88">
        <f>3.66252860076923*(('2022 IR Data Book'!$A$5))</f>
        <v>3.6625286007692299</v>
      </c>
      <c r="D115" s="146">
        <f t="shared" ref="D115:D118" si="40">C115/$C$120</f>
        <v>6.5680446247438505E-5</v>
      </c>
      <c r="E115" s="88">
        <f>6.03008431615384*(('2022 IR Data Book'!$A$5))</f>
        <v>6.0300843161538404</v>
      </c>
      <c r="F115" s="146">
        <f t="shared" ref="F115:F118" si="41">E115/$E$120</f>
        <v>5.5370397102980822E-5</v>
      </c>
      <c r="G115" s="148">
        <f t="shared" ref="G115:G118" si="42">C115-E115</f>
        <v>-2.3675557153846105</v>
      </c>
      <c r="H115" s="147">
        <f>(C115/E115)-1</f>
        <v>-0.39262398189727221</v>
      </c>
      <c r="I115" s="163"/>
      <c r="K115" s="20" t="s">
        <v>213</v>
      </c>
      <c r="L115" s="88">
        <f>160.875455590769*(('2022 IR Data Book'!$A$5))</f>
        <v>160.87545559076901</v>
      </c>
      <c r="M115" s="146">
        <f>L115/$L$120</f>
        <v>6.806298631650276E-4</v>
      </c>
      <c r="N115" s="88">
        <f>25.81397088*(('2022 IR Data Book'!$A$5))</f>
        <v>25.813970879999999</v>
      </c>
      <c r="O115" s="146">
        <f>N115/$N$120</f>
        <v>6.0066087101249238E-5</v>
      </c>
      <c r="P115" s="148">
        <f t="shared" ref="P115:P118" si="43">L115-N115</f>
        <v>135.06148471076901</v>
      </c>
      <c r="Q115" s="147">
        <f>(L115/N115)-1</f>
        <v>5.2321080448498982</v>
      </c>
    </row>
    <row r="116" spans="2:17" x14ac:dyDescent="0.2">
      <c r="B116" s="20" t="s">
        <v>214</v>
      </c>
      <c r="C116" s="88">
        <f>5360.60850584538*(('2022 IR Data Book'!$A$5))</f>
        <v>5360.60850584538</v>
      </c>
      <c r="D116" s="146">
        <f t="shared" si="40"/>
        <v>9.6132261942689354E-2</v>
      </c>
      <c r="E116" s="88">
        <f>2185.97330288769*(('2022 IR Data Book'!$A$5))</f>
        <v>2185.9733028876899</v>
      </c>
      <c r="F116" s="146">
        <f t="shared" si="41"/>
        <v>2.0072390947031993E-2</v>
      </c>
      <c r="G116" s="82">
        <f t="shared" si="42"/>
        <v>3174.6352029576901</v>
      </c>
      <c r="H116" s="83">
        <f>(C116/E116)-1</f>
        <v>1.4522753771804848</v>
      </c>
      <c r="I116" s="163"/>
      <c r="K116" s="20" t="s">
        <v>214</v>
      </c>
      <c r="L116" s="88">
        <f>15799.8931144761*(('2022 IR Data Book'!$A$5))</f>
        <v>15799.893114476101</v>
      </c>
      <c r="M116" s="146">
        <f>L116/$L$120</f>
        <v>6.6845989955629903E-2</v>
      </c>
      <c r="N116" s="88">
        <f>6996.23454367768*(('2022 IR Data Book'!$A$5))</f>
        <v>6996.2345436776804</v>
      </c>
      <c r="O116" s="146">
        <f>N116/$N$120</f>
        <v>1.6279418437203732E-2</v>
      </c>
      <c r="P116" s="82">
        <f t="shared" si="43"/>
        <v>8803.6585707984195</v>
      </c>
      <c r="Q116" s="83">
        <f>(L116/N116)-1</f>
        <v>1.2583424005923391</v>
      </c>
    </row>
    <row r="117" spans="2:17" x14ac:dyDescent="0.2">
      <c r="B117" s="20" t="s">
        <v>215</v>
      </c>
      <c r="C117" s="88">
        <f>327.291607422307*(('2022 IR Data Book'!$A$5))</f>
        <v>327.29160742230698</v>
      </c>
      <c r="D117" s="146">
        <f t="shared" si="40"/>
        <v>5.8693490677516344E-3</v>
      </c>
      <c r="E117" s="88">
        <f>48.1916924038461*(('2022 IR Data Book'!$A$5))</f>
        <v>48.191692403846098</v>
      </c>
      <c r="F117" s="146">
        <f t="shared" si="41"/>
        <v>4.425134053793198E-4</v>
      </c>
      <c r="G117" s="148">
        <f t="shared" si="42"/>
        <v>279.09991501846088</v>
      </c>
      <c r="H117" s="147">
        <f>(C117/E117)-1</f>
        <v>5.7914528645228982</v>
      </c>
      <c r="I117" s="163"/>
      <c r="K117" s="20" t="s">
        <v>215</v>
      </c>
      <c r="L117" s="88">
        <f>812.092148686153*(('2022 IR Data Book'!$A$5))</f>
        <v>812.092148686153</v>
      </c>
      <c r="M117" s="146">
        <f>L117/$L$120</f>
        <v>3.4357892943202039E-3</v>
      </c>
      <c r="N117" s="88">
        <f>224.984276438461*(('2022 IR Data Book'!$A$5))</f>
        <v>224.98427643846099</v>
      </c>
      <c r="O117" s="146">
        <f>N117/$N$120</f>
        <v>5.235120628199971E-4</v>
      </c>
      <c r="P117" s="148">
        <f t="shared" si="43"/>
        <v>587.10787224769206</v>
      </c>
      <c r="Q117" s="147">
        <f>(L117/N117)-1</f>
        <v>2.6095506830153137</v>
      </c>
    </row>
    <row r="118" spans="2:17" x14ac:dyDescent="0.2">
      <c r="B118" s="20" t="s">
        <v>216</v>
      </c>
      <c r="C118" s="88">
        <f>0*(('2022 IR Data Book'!$A$5))</f>
        <v>0</v>
      </c>
      <c r="D118" s="146">
        <f t="shared" si="40"/>
        <v>0</v>
      </c>
      <c r="E118" s="88">
        <f>0*(('2022 IR Data Book'!$A$5))</f>
        <v>0</v>
      </c>
      <c r="F118" s="146">
        <f t="shared" si="41"/>
        <v>0</v>
      </c>
      <c r="G118" s="148">
        <f t="shared" si="42"/>
        <v>0</v>
      </c>
      <c r="H118" s="147" t="e">
        <f>(C118/E118)-1</f>
        <v>#DIV/0!</v>
      </c>
      <c r="I118" s="163"/>
      <c r="K118" s="20" t="s">
        <v>216</v>
      </c>
      <c r="L118" s="88">
        <f>0*(('2022 IR Data Book'!$A$5))</f>
        <v>0</v>
      </c>
      <c r="M118" s="146">
        <f>L118/$L$120</f>
        <v>0</v>
      </c>
      <c r="N118" s="88">
        <f>0*(('2022 IR Data Book'!$A$5))</f>
        <v>0</v>
      </c>
      <c r="O118" s="146">
        <f>N118/$N$120</f>
        <v>0</v>
      </c>
      <c r="P118" s="148">
        <f t="shared" si="43"/>
        <v>0</v>
      </c>
      <c r="Q118" s="147" t="e">
        <f>(L118/N118)-1</f>
        <v>#DIV/0!</v>
      </c>
    </row>
    <row r="119" spans="2:17" x14ac:dyDescent="0.2">
      <c r="C119" s="88">
        <f>0*(('2022 IR Data Book'!$A$5))</f>
        <v>0</v>
      </c>
      <c r="D119" s="146"/>
      <c r="E119" s="88"/>
      <c r="F119" s="146"/>
      <c r="G119" s="148"/>
      <c r="H119" s="147"/>
      <c r="I119" s="163"/>
      <c r="L119" s="88"/>
      <c r="M119" s="146"/>
      <c r="N119" s="88"/>
      <c r="O119" s="146"/>
      <c r="P119" s="148"/>
      <c r="Q119" s="147"/>
    </row>
    <row r="120" spans="2:17" ht="15.75" x14ac:dyDescent="0.25">
      <c r="B120" s="138" t="s">
        <v>217</v>
      </c>
      <c r="C120" s="89">
        <f>SUM(C114:C118)</f>
        <v>55762.845870007564</v>
      </c>
      <c r="D120" s="146">
        <f>C120/$C$120</f>
        <v>1</v>
      </c>
      <c r="E120" s="89">
        <f>SUM(E114:E118)</f>
        <v>108904.48022142171</v>
      </c>
      <c r="F120" s="146">
        <f>E120/$E$120</f>
        <v>1</v>
      </c>
      <c r="G120" s="149">
        <f>C120-E120</f>
        <v>-53141.634351414141</v>
      </c>
      <c r="H120" s="150">
        <f>(C120/E120)-1</f>
        <v>-0.48796554782106283</v>
      </c>
      <c r="I120" s="241"/>
      <c r="K120" s="138" t="s">
        <v>217</v>
      </c>
      <c r="L120" s="89">
        <f>SUM(L114:L118)</f>
        <v>236362.61688941301</v>
      </c>
      <c r="M120" s="146">
        <f>L120/$L$120</f>
        <v>1</v>
      </c>
      <c r="N120" s="89">
        <f>SUM(N114:N118)</f>
        <v>429759.48868597316</v>
      </c>
      <c r="O120" s="146">
        <f>N120/$N$120</f>
        <v>1</v>
      </c>
      <c r="P120" s="149">
        <f>L120-N120</f>
        <v>-193396.87179656015</v>
      </c>
      <c r="Q120" s="150">
        <f>(L120/N120)-1</f>
        <v>-0.4500118714955843</v>
      </c>
    </row>
    <row r="121" spans="2:17" x14ac:dyDescent="0.2">
      <c r="C121" s="88">
        <v>0</v>
      </c>
      <c r="D121" s="151"/>
      <c r="E121" s="88">
        <v>0</v>
      </c>
      <c r="F121" s="151"/>
      <c r="G121" s="189"/>
      <c r="H121" s="147"/>
      <c r="I121" s="241"/>
      <c r="L121" s="88">
        <v>0</v>
      </c>
      <c r="M121" s="151"/>
      <c r="N121" s="88">
        <v>0</v>
      </c>
      <c r="O121" s="151"/>
      <c r="P121" s="189"/>
      <c r="Q121" s="147"/>
    </row>
    <row r="122" spans="2:17" ht="15.75" x14ac:dyDescent="0.25">
      <c r="B122" s="138" t="s">
        <v>34</v>
      </c>
      <c r="C122" s="89">
        <f>15403.4593643638*(('2022 IR Data Book'!$A$5))</f>
        <v>15403.4593643638</v>
      </c>
      <c r="D122" s="146">
        <f>C122/$C$120</f>
        <v>0.27623158617606813</v>
      </c>
      <c r="E122" s="89">
        <f>28222.1444260623*(('2022 IR Data Book'!$A$5))</f>
        <v>28222.144426062299</v>
      </c>
      <c r="F122" s="146">
        <f>E122/$E$120</f>
        <v>0.25914585303269233</v>
      </c>
      <c r="G122" s="149">
        <f>C122-E122</f>
        <v>-12818.685061698499</v>
      </c>
      <c r="H122" s="150">
        <f>(C122/E122)-1</f>
        <v>-0.45420662824830671</v>
      </c>
      <c r="I122" s="163"/>
      <c r="K122" s="138" t="s">
        <v>34</v>
      </c>
      <c r="L122" s="89">
        <f>66544.1010444991*(('2022 IR Data Book'!$A$5))</f>
        <v>66544.101044499097</v>
      </c>
      <c r="M122" s="146">
        <f>L122/$L$120</f>
        <v>0.28153394948928445</v>
      </c>
      <c r="N122" s="89">
        <f>120246.887610256*(('2022 IR Data Book'!$A$5))</f>
        <v>120246.887610256</v>
      </c>
      <c r="O122" s="146">
        <f>N122/$N$120</f>
        <v>0.27980042506547387</v>
      </c>
      <c r="P122" s="149">
        <f>L122-N122</f>
        <v>-53702.786565756905</v>
      </c>
      <c r="Q122" s="150">
        <f>(L122/N122)-1</f>
        <v>-0.44660437898250038</v>
      </c>
    </row>
    <row r="123" spans="2:17" x14ac:dyDescent="0.2">
      <c r="I123" s="163"/>
    </row>
    <row r="124" spans="2:17" x14ac:dyDescent="0.2">
      <c r="B124" s="72" t="s">
        <v>218</v>
      </c>
      <c r="C124" s="161" t="str">
        <f>$C$6</f>
        <v>Q3'22</v>
      </c>
      <c r="D124" s="143"/>
      <c r="E124" s="161" t="str">
        <f>$E$6</f>
        <v>Q3'21</v>
      </c>
      <c r="G124" s="188" t="s">
        <v>211</v>
      </c>
      <c r="H124" s="161" t="s">
        <v>30</v>
      </c>
      <c r="I124" s="163"/>
      <c r="K124" s="72" t="s">
        <v>218</v>
      </c>
      <c r="L124" s="161" t="str">
        <f>$L$6</f>
        <v>Sep YTD 2022</v>
      </c>
      <c r="M124" s="143"/>
      <c r="N124" s="161" t="str">
        <f>$N$6</f>
        <v>Sep YTD 2021</v>
      </c>
      <c r="P124" s="188" t="s">
        <v>211</v>
      </c>
      <c r="Q124" s="161" t="s">
        <v>30</v>
      </c>
    </row>
    <row r="125" spans="2:17" ht="15.75" x14ac:dyDescent="0.25">
      <c r="B125" s="153" t="s">
        <v>219</v>
      </c>
      <c r="C125" s="84">
        <v>55</v>
      </c>
      <c r="D125" s="84"/>
      <c r="E125" s="84">
        <v>89</v>
      </c>
      <c r="F125" s="91"/>
      <c r="G125" s="148">
        <f t="shared" ref="G125:G127" si="44">C125-E125</f>
        <v>-34</v>
      </c>
      <c r="H125" s="147">
        <f t="shared" ref="H125:H127" si="45">(C125/E125)-1</f>
        <v>-0.3820224719101124</v>
      </c>
      <c r="I125" s="164"/>
      <c r="K125" s="153" t="s">
        <v>219</v>
      </c>
      <c r="L125" s="84">
        <v>697</v>
      </c>
      <c r="M125" s="84"/>
      <c r="N125" s="84">
        <v>464</v>
      </c>
      <c r="O125" s="91"/>
      <c r="P125" s="148">
        <f t="shared" ref="P125:P127" si="46">L125-N125</f>
        <v>233</v>
      </c>
      <c r="Q125" s="147">
        <f t="shared" ref="Q125:Q127" si="47">(L125/N125)-1</f>
        <v>0.50215517241379315</v>
      </c>
    </row>
    <row r="126" spans="2:17" ht="15.75" x14ac:dyDescent="0.25">
      <c r="B126" s="138" t="s">
        <v>212</v>
      </c>
      <c r="C126" s="162">
        <v>290514</v>
      </c>
      <c r="D126" s="85"/>
      <c r="E126" s="162">
        <v>685801</v>
      </c>
      <c r="F126" s="152"/>
      <c r="G126" s="148">
        <f>C126-E126</f>
        <v>-395287</v>
      </c>
      <c r="H126" s="147">
        <v>-0.55650563316809376</v>
      </c>
      <c r="I126" s="163"/>
      <c r="K126" s="138" t="s">
        <v>212</v>
      </c>
      <c r="L126" s="162">
        <v>1157469</v>
      </c>
      <c r="M126" s="85"/>
      <c r="N126" s="162">
        <v>2636020</v>
      </c>
      <c r="O126" s="152"/>
      <c r="P126" s="148">
        <f t="shared" si="46"/>
        <v>-1478551</v>
      </c>
      <c r="Q126" s="147">
        <v>-0.55545761783676606</v>
      </c>
    </row>
    <row r="127" spans="2:17" x14ac:dyDescent="0.2">
      <c r="B127" s="155"/>
      <c r="C127" s="156">
        <f>C126+C125</f>
        <v>290569</v>
      </c>
      <c r="D127" s="155"/>
      <c r="E127" s="156">
        <f>E126+E125</f>
        <v>685890</v>
      </c>
      <c r="F127" s="155"/>
      <c r="G127" s="148">
        <f t="shared" si="44"/>
        <v>-395321</v>
      </c>
      <c r="H127" s="147">
        <f t="shared" si="45"/>
        <v>-0.57636209887882894</v>
      </c>
      <c r="I127" s="165"/>
      <c r="K127" s="155"/>
      <c r="L127" s="156">
        <f>L126+L125</f>
        <v>1158166</v>
      </c>
      <c r="M127" s="155"/>
      <c r="N127" s="156">
        <f>N126+N125</f>
        <v>2636484</v>
      </c>
      <c r="O127" s="155"/>
      <c r="P127" s="148">
        <f t="shared" si="46"/>
        <v>-1478318</v>
      </c>
      <c r="Q127" s="147">
        <f t="shared" si="47"/>
        <v>-0.56071571077237714</v>
      </c>
    </row>
    <row r="128" spans="2:17" x14ac:dyDescent="0.2">
      <c r="I128" s="163"/>
    </row>
    <row r="129" spans="2:17" ht="18.75" x14ac:dyDescent="0.3">
      <c r="B129" s="142" t="s">
        <v>222</v>
      </c>
      <c r="I129" s="163"/>
      <c r="K129" s="142" t="s">
        <v>222</v>
      </c>
    </row>
    <row r="130" spans="2:17" x14ac:dyDescent="0.2">
      <c r="B130" s="59" t="str">
        <f>$B$3</f>
        <v xml:space="preserve">Q3'22 vs Q3'21 </v>
      </c>
      <c r="I130" s="163"/>
      <c r="K130" s="59" t="str">
        <f>$B$3</f>
        <v xml:space="preserve">Q3'22 vs Q3'21 </v>
      </c>
    </row>
    <row r="131" spans="2:17" x14ac:dyDescent="0.2">
      <c r="B131" s="51" t="s">
        <v>209</v>
      </c>
      <c r="I131" s="163"/>
      <c r="K131" s="51" t="s">
        <v>209</v>
      </c>
    </row>
    <row r="132" spans="2:17" x14ac:dyDescent="0.2">
      <c r="C132" s="161" t="s">
        <v>210</v>
      </c>
      <c r="D132" s="143"/>
      <c r="E132" s="161" t="s">
        <v>210</v>
      </c>
      <c r="I132" s="163"/>
      <c r="L132" s="161" t="s">
        <v>210</v>
      </c>
      <c r="M132" s="143"/>
      <c r="N132" s="161" t="s">
        <v>210</v>
      </c>
    </row>
    <row r="133" spans="2:17" x14ac:dyDescent="0.2">
      <c r="B133" s="144"/>
      <c r="C133" s="161" t="str">
        <f>$C$6</f>
        <v>Q3'22</v>
      </c>
      <c r="D133" s="143"/>
      <c r="E133" s="161" t="str">
        <f>$E$6</f>
        <v>Q3'21</v>
      </c>
      <c r="G133" s="188" t="s">
        <v>211</v>
      </c>
      <c r="H133" s="161" t="s">
        <v>30</v>
      </c>
      <c r="I133" s="163"/>
      <c r="K133" s="144"/>
      <c r="L133" s="161" t="str">
        <f>$L$6</f>
        <v>Sep YTD 2022</v>
      </c>
      <c r="M133" s="143"/>
      <c r="N133" s="161" t="str">
        <f>$N$6</f>
        <v>Sep YTD 2021</v>
      </c>
      <c r="P133" s="188" t="s">
        <v>211</v>
      </c>
      <c r="Q133" s="161" t="s">
        <v>30</v>
      </c>
    </row>
    <row r="134" spans="2:17" x14ac:dyDescent="0.2">
      <c r="H134" s="145"/>
      <c r="I134" s="163"/>
      <c r="Q134" s="145"/>
    </row>
    <row r="135" spans="2:17" x14ac:dyDescent="0.2">
      <c r="B135" s="20" t="s">
        <v>212</v>
      </c>
      <c r="C135" s="88">
        <f>86345.0666326281*(('2022 IR Data Book'!$A$5))</f>
        <v>86345.066632628106</v>
      </c>
      <c r="D135" s="146">
        <f>C135/$C$141</f>
        <v>0.69837304577336368</v>
      </c>
      <c r="E135" s="88">
        <f>108977.756027636*(('2022 IR Data Book'!$A$5))</f>
        <v>108977.756027636</v>
      </c>
      <c r="F135" s="146">
        <f>E135/$E$141</f>
        <v>0.80370912440514042</v>
      </c>
      <c r="G135" s="148">
        <f>C135-E135</f>
        <v>-22632.689395007896</v>
      </c>
      <c r="H135" s="147">
        <f>(C135/E135)-1</f>
        <v>-0.2076817345116595</v>
      </c>
      <c r="I135" s="163"/>
      <c r="K135" s="20" t="s">
        <v>212</v>
      </c>
      <c r="L135" s="88">
        <f>282816.615773542*(('2022 IR Data Book'!$A$5))</f>
        <v>282816.61577354203</v>
      </c>
      <c r="M135" s="146">
        <f>L135/$L$141</f>
        <v>0.73995011236960828</v>
      </c>
      <c r="N135" s="88">
        <f>292762.439844505*(('2022 IR Data Book'!$A$5))</f>
        <v>292762.43984450499</v>
      </c>
      <c r="O135" s="146">
        <f>N135/$N$141</f>
        <v>0.78504418934845466</v>
      </c>
      <c r="P135" s="148">
        <f>L135-N135</f>
        <v>-9945.8240709629608</v>
      </c>
      <c r="Q135" s="147">
        <f>(L135/N135)-1</f>
        <v>-3.3972336329228248E-2</v>
      </c>
    </row>
    <row r="136" spans="2:17" x14ac:dyDescent="0.2">
      <c r="B136" s="20" t="s">
        <v>213</v>
      </c>
      <c r="C136" s="88">
        <f>3276.17592509662*(('2022 IR Data Book'!$A$5))</f>
        <v>3276.1759250966202</v>
      </c>
      <c r="D136" s="146">
        <f t="shared" ref="D136:D139" si="48">C136/$C$141</f>
        <v>2.6498247653612979E-2</v>
      </c>
      <c r="E136" s="88">
        <f>2932.73838712*(('2022 IR Data Book'!$A$5))</f>
        <v>2932.73838712</v>
      </c>
      <c r="F136" s="146">
        <f t="shared" ref="F136:F139" si="49">E136/$E$141</f>
        <v>2.1628896456849622E-2</v>
      </c>
      <c r="G136" s="148">
        <f t="shared" ref="G136:G139" si="50">C136-E136</f>
        <v>343.43753797662021</v>
      </c>
      <c r="H136" s="147">
        <f>(C136/E136)-1</f>
        <v>0.11710473033835167</v>
      </c>
      <c r="I136" s="163"/>
      <c r="K136" s="20" t="s">
        <v>213</v>
      </c>
      <c r="L136" s="88">
        <f>10358.6787616504*(('2022 IR Data Book'!$A$5))</f>
        <v>10358.678761650401</v>
      </c>
      <c r="M136" s="146">
        <f>L136/$L$141</f>
        <v>2.7102033919468724E-2</v>
      </c>
      <c r="N136" s="88">
        <f>8582.44572465661*(('2022 IR Data Book'!$A$5))</f>
        <v>8582.4457246566108</v>
      </c>
      <c r="O136" s="146">
        <f>N136/$N$141</f>
        <v>2.3013878249268253E-2</v>
      </c>
      <c r="P136" s="148">
        <f t="shared" ref="P136:P139" si="51">L136-N136</f>
        <v>1776.2330369937899</v>
      </c>
      <c r="Q136" s="147">
        <f>(L136/N136)-1</f>
        <v>0.20696117330411168</v>
      </c>
    </row>
    <row r="137" spans="2:17" x14ac:dyDescent="0.2">
      <c r="B137" s="20" t="s">
        <v>214</v>
      </c>
      <c r="C137" s="88">
        <f>27171.4966330628*(('2022 IR Data Book'!$A$5))</f>
        <v>27171.496633062801</v>
      </c>
      <c r="D137" s="146">
        <f t="shared" si="48"/>
        <v>0.2197675165691767</v>
      </c>
      <c r="E137" s="88">
        <f>19164.8198325217*(('2022 IR Data Book'!$A$5))</f>
        <v>19164.819832521702</v>
      </c>
      <c r="F137" s="146">
        <f t="shared" si="49"/>
        <v>0.14134022509210237</v>
      </c>
      <c r="G137" s="82">
        <f t="shared" si="50"/>
        <v>8006.6768005410995</v>
      </c>
      <c r="H137" s="83">
        <f>(C137/E137)-1</f>
        <v>0.41777991499581879</v>
      </c>
      <c r="I137" s="163"/>
      <c r="K137" s="20" t="s">
        <v>214</v>
      </c>
      <c r="L137" s="88">
        <f>71234.2513608211*(('2022 IR Data Book'!$A$5))</f>
        <v>71234.251360821101</v>
      </c>
      <c r="M137" s="146">
        <f>L137/$L$141</f>
        <v>0.18637445383057155</v>
      </c>
      <c r="N137" s="88">
        <f>57441.1613839247*(('2022 IR Data Book'!$A$5))</f>
        <v>57441.1613839247</v>
      </c>
      <c r="O137" s="146">
        <f>N137/$N$141</f>
        <v>0.1540288091526619</v>
      </c>
      <c r="P137" s="82">
        <f t="shared" si="51"/>
        <v>13793.089976896401</v>
      </c>
      <c r="Q137" s="83">
        <f>(L137/N137)-1</f>
        <v>0.24012554141630726</v>
      </c>
    </row>
    <row r="138" spans="2:17" x14ac:dyDescent="0.2">
      <c r="B138" s="20" t="s">
        <v>215</v>
      </c>
      <c r="C138" s="88">
        <f>6506.18074916527*(('2022 IR Data Book'!$A$5))</f>
        <v>6506.1807491652698</v>
      </c>
      <c r="D138" s="146">
        <f t="shared" si="48"/>
        <v>5.262305587739953E-2</v>
      </c>
      <c r="E138" s="88">
        <f>4365.08460858324*(('2022 IR Data Book'!$A$5))</f>
        <v>4365.08460858324</v>
      </c>
      <c r="F138" s="146">
        <f t="shared" si="49"/>
        <v>3.2192425836233232E-2</v>
      </c>
      <c r="G138" s="148">
        <f t="shared" si="50"/>
        <v>2141.0961405820299</v>
      </c>
      <c r="H138" s="147">
        <f>(C138/E138)-1</f>
        <v>0.49050507208311767</v>
      </c>
      <c r="I138" s="163"/>
      <c r="K138" s="20" t="s">
        <v>215</v>
      </c>
      <c r="L138" s="88">
        <f>16904.2691400821*(('2022 IR Data Book'!$A$5))</f>
        <v>16904.269140082099</v>
      </c>
      <c r="M138" s="146">
        <f>L138/$L$141</f>
        <v>4.4227655491590905E-2</v>
      </c>
      <c r="N138" s="88">
        <f>13690.1617828706*(('2022 IR Data Book'!$A$5))</f>
        <v>13690.1617828706</v>
      </c>
      <c r="O138" s="146">
        <f>N138/$N$141</f>
        <v>3.6710248639105159E-2</v>
      </c>
      <c r="P138" s="148">
        <f t="shared" si="51"/>
        <v>3214.1073572114983</v>
      </c>
      <c r="Q138" s="147">
        <f>(L138/N138)-1</f>
        <v>0.23477497258162816</v>
      </c>
    </row>
    <row r="139" spans="2:17" x14ac:dyDescent="0.2">
      <c r="B139" s="20" t="s">
        <v>216</v>
      </c>
      <c r="C139" s="88">
        <f>338.53593724447*(('2022 IR Data Book'!$A$5))</f>
        <v>338.53593724447001</v>
      </c>
      <c r="D139" s="146">
        <f t="shared" si="48"/>
        <v>2.7381341264472508E-3</v>
      </c>
      <c r="E139" s="88">
        <f>153.129596730774*(('2022 IR Data Book'!$A$5))</f>
        <v>153.12959673077401</v>
      </c>
      <c r="F139" s="146">
        <f t="shared" si="49"/>
        <v>1.1293282096742066E-3</v>
      </c>
      <c r="G139" s="148">
        <f t="shared" si="50"/>
        <v>185.40634051369599</v>
      </c>
      <c r="H139" s="147">
        <f>(C139/E139)-1</f>
        <v>1.2107805706539514</v>
      </c>
      <c r="I139" s="163"/>
      <c r="K139" s="20" t="s">
        <v>216</v>
      </c>
      <c r="L139" s="88">
        <f>896.567861006892*(('2022 IR Data Book'!$A$5))</f>
        <v>896.56786100689203</v>
      </c>
      <c r="M139" s="146">
        <f>L139/$L$141</f>
        <v>2.3457443887605306E-3</v>
      </c>
      <c r="N139" s="88">
        <f>448.581762119873*(('2022 IR Data Book'!$A$5))</f>
        <v>448.58176211987302</v>
      </c>
      <c r="O139" s="146">
        <f>N139/$N$141</f>
        <v>1.2028746105099343E-3</v>
      </c>
      <c r="P139" s="148">
        <f t="shared" si="51"/>
        <v>447.98609888701901</v>
      </c>
      <c r="Q139" s="147">
        <f>(L139/N139)-1</f>
        <v>0.99867211892423113</v>
      </c>
    </row>
    <row r="140" spans="2:17" x14ac:dyDescent="0.2">
      <c r="C140" s="88"/>
      <c r="D140" s="146"/>
      <c r="E140" s="88"/>
      <c r="F140" s="146"/>
      <c r="G140" s="148"/>
      <c r="H140" s="147"/>
      <c r="I140" s="163"/>
      <c r="L140" s="88"/>
      <c r="M140" s="146"/>
      <c r="N140" s="88"/>
      <c r="O140" s="146"/>
      <c r="P140" s="148"/>
      <c r="Q140" s="147"/>
    </row>
    <row r="141" spans="2:17" ht="15.75" x14ac:dyDescent="0.25">
      <c r="B141" s="138" t="s">
        <v>217</v>
      </c>
      <c r="C141" s="89">
        <f>SUM(C135:C139)</f>
        <v>123637.45587719725</v>
      </c>
      <c r="D141" s="146">
        <f>C141/$C$141</f>
        <v>1</v>
      </c>
      <c r="E141" s="89">
        <f>SUM(E135:E139)</f>
        <v>135593.52845259174</v>
      </c>
      <c r="F141" s="146">
        <f>E141/$E$141</f>
        <v>1</v>
      </c>
      <c r="G141" s="149">
        <f>C141-E141</f>
        <v>-11956.072575394486</v>
      </c>
      <c r="H141" s="150">
        <f>(C141/E141)-1</f>
        <v>-8.8175834878246095E-2</v>
      </c>
      <c r="I141" s="241"/>
      <c r="K141" s="138" t="s">
        <v>217</v>
      </c>
      <c r="L141" s="89">
        <f>SUM(L135:L139)</f>
        <v>382210.38289710251</v>
      </c>
      <c r="M141" s="146">
        <f>L141/$L$141</f>
        <v>1</v>
      </c>
      <c r="N141" s="89">
        <f>SUM(N135:N139)</f>
        <v>372924.79049807682</v>
      </c>
      <c r="O141" s="146">
        <f>N141/$N$141</f>
        <v>1</v>
      </c>
      <c r="P141" s="149">
        <f>L141-N141</f>
        <v>9285.5923990256852</v>
      </c>
      <c r="Q141" s="150">
        <f>(L141/N141)-1</f>
        <v>2.4899370156175049E-2</v>
      </c>
    </row>
    <row r="142" spans="2:17" x14ac:dyDescent="0.2">
      <c r="C142" s="88">
        <v>0</v>
      </c>
      <c r="D142" s="151"/>
      <c r="E142" s="88">
        <v>0</v>
      </c>
      <c r="F142" s="151"/>
      <c r="G142" s="189"/>
      <c r="H142" s="147"/>
      <c r="I142" s="241"/>
      <c r="L142" s="88">
        <v>0</v>
      </c>
      <c r="M142" s="151"/>
      <c r="N142" s="88">
        <v>0</v>
      </c>
      <c r="O142" s="151"/>
      <c r="P142" s="189"/>
      <c r="Q142" s="147"/>
    </row>
    <row r="143" spans="2:17" ht="15.75" x14ac:dyDescent="0.25">
      <c r="B143" s="138" t="s">
        <v>34</v>
      </c>
      <c r="C143" s="89">
        <f>22753.5925414361*(('2022 IR Data Book'!$A$5))</f>
        <v>22753.592541436101</v>
      </c>
      <c r="D143" s="146">
        <f>C143/$C$141</f>
        <v>0.18403478444296104</v>
      </c>
      <c r="E143" s="89">
        <f>18440.2363650376*(('2022 IR Data Book'!$A$5))</f>
        <v>18440.236365037599</v>
      </c>
      <c r="F143" s="146">
        <f>E143/$E$141</f>
        <v>0.13599643416230556</v>
      </c>
      <c r="G143" s="149">
        <f>C143-E143</f>
        <v>4313.3561763985017</v>
      </c>
      <c r="H143" s="150">
        <f>(C143/E143)-1</f>
        <v>0.23391002647756509</v>
      </c>
      <c r="I143" s="163"/>
      <c r="K143" s="138" t="s">
        <v>34</v>
      </c>
      <c r="L143" s="89">
        <f>58096.5004170953*(('2022 IR Data Book'!$A$5))</f>
        <v>58096.500417095303</v>
      </c>
      <c r="M143" s="146">
        <f>L143/$L$141</f>
        <v>0.15200136630703689</v>
      </c>
      <c r="N143" s="89">
        <f>55107.1102330122*(('2022 IR Data Book'!$A$5))</f>
        <v>55107.110233012201</v>
      </c>
      <c r="O143" s="146">
        <f>N143/$N$141</f>
        <v>0.14777003738317146</v>
      </c>
      <c r="P143" s="149">
        <f>L143-N143</f>
        <v>2989.3901840831022</v>
      </c>
      <c r="Q143" s="150">
        <f>(L143/N143)-1</f>
        <v>5.4246905189601069E-2</v>
      </c>
    </row>
    <row r="144" spans="2:17" x14ac:dyDescent="0.2">
      <c r="I144" s="163"/>
    </row>
    <row r="145" spans="2:17" x14ac:dyDescent="0.2">
      <c r="B145" s="72" t="s">
        <v>218</v>
      </c>
      <c r="C145" s="161" t="str">
        <f>$C$6</f>
        <v>Q3'22</v>
      </c>
      <c r="D145" s="143"/>
      <c r="E145" s="161" t="str">
        <f>$E$6</f>
        <v>Q3'21</v>
      </c>
      <c r="G145" s="188" t="s">
        <v>211</v>
      </c>
      <c r="H145" s="161" t="s">
        <v>30</v>
      </c>
      <c r="I145" s="163"/>
      <c r="K145" s="72" t="s">
        <v>218</v>
      </c>
      <c r="L145" s="161" t="str">
        <f>$L$6</f>
        <v>Sep YTD 2022</v>
      </c>
      <c r="M145" s="143"/>
      <c r="N145" s="161" t="str">
        <f>$N$6</f>
        <v>Sep YTD 2021</v>
      </c>
      <c r="P145" s="188" t="s">
        <v>211</v>
      </c>
      <c r="Q145" s="161" t="s">
        <v>30</v>
      </c>
    </row>
    <row r="146" spans="2:17" ht="15.75" x14ac:dyDescent="0.25">
      <c r="B146" s="153" t="s">
        <v>219</v>
      </c>
      <c r="C146" s="84">
        <v>301208</v>
      </c>
      <c r="D146" s="84"/>
      <c r="E146" s="84">
        <v>275174</v>
      </c>
      <c r="F146" s="91"/>
      <c r="G146" s="148">
        <f t="shared" ref="G146:G148" si="52">C146-E146</f>
        <v>26034</v>
      </c>
      <c r="H146" s="147">
        <f t="shared" ref="H146:H148" si="53">(C146/E146)-1</f>
        <v>9.4609229069606782E-2</v>
      </c>
      <c r="I146" s="164"/>
      <c r="K146" s="153" t="s">
        <v>219</v>
      </c>
      <c r="L146" s="84">
        <v>942762</v>
      </c>
      <c r="M146" s="84"/>
      <c r="N146" s="84">
        <v>814712</v>
      </c>
      <c r="O146" s="91"/>
      <c r="P146" s="148">
        <f t="shared" ref="P146:P148" si="54">L146-N146</f>
        <v>128050</v>
      </c>
      <c r="Q146" s="147">
        <f t="shared" ref="Q146:Q148" si="55">(L146/N146)-1</f>
        <v>0.15717210498924783</v>
      </c>
    </row>
    <row r="147" spans="2:17" ht="15.75" x14ac:dyDescent="0.25">
      <c r="B147" s="138" t="s">
        <v>212</v>
      </c>
      <c r="C147" s="162">
        <v>761353</v>
      </c>
      <c r="D147" s="85"/>
      <c r="E147" s="162">
        <v>741746</v>
      </c>
      <c r="F147" s="152"/>
      <c r="G147" s="148">
        <f t="shared" si="52"/>
        <v>19607</v>
      </c>
      <c r="H147" s="147">
        <v>0.13060304479641593</v>
      </c>
      <c r="I147" s="163"/>
      <c r="K147" s="138" t="s">
        <v>212</v>
      </c>
      <c r="L147" s="162">
        <v>2197712</v>
      </c>
      <c r="M147" s="85"/>
      <c r="N147" s="162">
        <v>2056751</v>
      </c>
      <c r="O147" s="152"/>
      <c r="P147" s="148">
        <f t="shared" si="54"/>
        <v>140961</v>
      </c>
      <c r="Q147" s="147">
        <v>9.2529686198911776E-2</v>
      </c>
    </row>
    <row r="148" spans="2:17" x14ac:dyDescent="0.2">
      <c r="B148" s="155"/>
      <c r="C148" s="156">
        <f>C147+C146</f>
        <v>1062561</v>
      </c>
      <c r="D148" s="155"/>
      <c r="E148" s="156">
        <f>E147+E146</f>
        <v>1016920</v>
      </c>
      <c r="F148" s="155"/>
      <c r="G148" s="148">
        <f t="shared" si="52"/>
        <v>45641</v>
      </c>
      <c r="H148" s="147">
        <f t="shared" si="53"/>
        <v>4.4881603272627135E-2</v>
      </c>
      <c r="I148" s="165"/>
      <c r="K148" s="155"/>
      <c r="L148" s="156">
        <f>L147+L146</f>
        <v>3140474</v>
      </c>
      <c r="M148" s="155"/>
      <c r="N148" s="156">
        <f>N147+N146</f>
        <v>2871463</v>
      </c>
      <c r="O148" s="155"/>
      <c r="P148" s="148">
        <f t="shared" si="54"/>
        <v>269011</v>
      </c>
      <c r="Q148" s="147">
        <f t="shared" si="55"/>
        <v>9.3684299606158872E-2</v>
      </c>
    </row>
    <row r="149" spans="2:17" x14ac:dyDescent="0.2">
      <c r="I149" s="163"/>
    </row>
    <row r="150" spans="2:17" ht="18.75" x14ac:dyDescent="0.3">
      <c r="B150" s="142" t="s">
        <v>202</v>
      </c>
      <c r="I150" s="163"/>
      <c r="K150" s="142" t="s">
        <v>202</v>
      </c>
    </row>
    <row r="151" spans="2:17" x14ac:dyDescent="0.2">
      <c r="B151" s="59" t="str">
        <f>$B$3</f>
        <v xml:space="preserve">Q3'22 vs Q3'21 </v>
      </c>
      <c r="I151" s="163"/>
      <c r="K151" s="59" t="str">
        <f>$B$3</f>
        <v xml:space="preserve">Q3'22 vs Q3'21 </v>
      </c>
    </row>
    <row r="152" spans="2:17" x14ac:dyDescent="0.2">
      <c r="B152" s="51" t="s">
        <v>209</v>
      </c>
      <c r="I152" s="163"/>
      <c r="K152" s="51" t="s">
        <v>209</v>
      </c>
    </row>
    <row r="153" spans="2:17" x14ac:dyDescent="0.2">
      <c r="C153" s="161" t="s">
        <v>210</v>
      </c>
      <c r="D153" s="143"/>
      <c r="E153" s="161" t="s">
        <v>210</v>
      </c>
      <c r="I153" s="163"/>
      <c r="L153" s="161" t="s">
        <v>210</v>
      </c>
      <c r="M153" s="143"/>
      <c r="N153" s="161" t="s">
        <v>210</v>
      </c>
    </row>
    <row r="154" spans="2:17" x14ac:dyDescent="0.2">
      <c r="B154" s="144"/>
      <c r="C154" s="161" t="str">
        <f>$C$6</f>
        <v>Q3'22</v>
      </c>
      <c r="D154" s="143"/>
      <c r="E154" s="161" t="str">
        <f>$E$6</f>
        <v>Q3'21</v>
      </c>
      <c r="G154" s="188" t="s">
        <v>211</v>
      </c>
      <c r="H154" s="161" t="s">
        <v>30</v>
      </c>
      <c r="I154" s="163"/>
      <c r="K154" s="144"/>
      <c r="L154" s="161" t="str">
        <f>$L$6</f>
        <v>Sep YTD 2022</v>
      </c>
      <c r="M154" s="143"/>
      <c r="N154" s="161" t="str">
        <f>$N$6</f>
        <v>Sep YTD 2021</v>
      </c>
      <c r="P154" s="188" t="s">
        <v>211</v>
      </c>
      <c r="Q154" s="161" t="s">
        <v>30</v>
      </c>
    </row>
    <row r="155" spans="2:17" x14ac:dyDescent="0.2">
      <c r="H155" s="145"/>
      <c r="I155" s="163"/>
      <c r="Q155" s="145"/>
    </row>
    <row r="156" spans="2:17" x14ac:dyDescent="0.2">
      <c r="B156" s="20" t="s">
        <v>212</v>
      </c>
      <c r="C156" s="88">
        <f>3596.37241482966*(('2022 IR Data Book'!$A$5))</f>
        <v>3596.3724148296601</v>
      </c>
      <c r="D156" s="146">
        <f>C156/$C$162</f>
        <v>2.7286138369713338E-2</v>
      </c>
      <c r="E156" s="88">
        <f>4680.21131763327*(('2022 IR Data Book'!$A$5))</f>
        <v>4680.2113176332696</v>
      </c>
      <c r="F156" s="146">
        <f>E156/$E$162</f>
        <v>2.8245611130579582E-2</v>
      </c>
      <c r="G156" s="148">
        <f>C156-E156</f>
        <v>-1083.8389028036095</v>
      </c>
      <c r="H156" s="147">
        <f>(C156/E156)-1</f>
        <v>-0.23157905257827005</v>
      </c>
      <c r="I156" s="163"/>
      <c r="K156" s="20" t="s">
        <v>212</v>
      </c>
      <c r="L156" s="88">
        <f>7277.07722436306*(('2022 IR Data Book'!$A$5))</f>
        <v>7277.0772243630599</v>
      </c>
      <c r="M156" s="146">
        <f>L156/$L$162</f>
        <v>1.8424911200121068E-2</v>
      </c>
      <c r="N156" s="88">
        <f>8345.85688329377*(('2022 IR Data Book'!$A$5))</f>
        <v>8345.8568832937708</v>
      </c>
      <c r="O156" s="146">
        <f>N156/$N$162</f>
        <v>1.8680319706177902E-2</v>
      </c>
      <c r="P156" s="148">
        <f>L156-N156</f>
        <v>-1068.7796589307109</v>
      </c>
      <c r="Q156" s="147">
        <f>(L156/N156)-1</f>
        <v>-0.12806110551333905</v>
      </c>
    </row>
    <row r="157" spans="2:17" x14ac:dyDescent="0.2">
      <c r="B157" s="20" t="s">
        <v>213</v>
      </c>
      <c r="C157" s="88">
        <f>170348.552360489*(('2022 IR Data Book'!$A$5))</f>
        <v>170348.552360489</v>
      </c>
      <c r="D157" s="146">
        <f t="shared" ref="D157:D160" si="56">C157/$C$162</f>
        <v>1.2924562961338411</v>
      </c>
      <c r="E157" s="88">
        <f>200598.18999005*(('2022 IR Data Book'!$A$5))</f>
        <v>200598.18999005001</v>
      </c>
      <c r="F157" s="146">
        <f t="shared" ref="F157:F164" si="57">E157/$E$162</f>
        <v>1.2106330427025069</v>
      </c>
      <c r="G157" s="148">
        <f t="shared" ref="G157:G160" si="58">C157-E157</f>
        <v>-30249.63762956101</v>
      </c>
      <c r="H157" s="147">
        <f>(C157/E157)-1</f>
        <v>-0.1507971613854614</v>
      </c>
      <c r="I157" s="163"/>
      <c r="K157" s="20" t="s">
        <v>213</v>
      </c>
      <c r="L157" s="88">
        <f>379042.55598754*(('2022 IR Data Book'!$A$5))</f>
        <v>379042.55598753999</v>
      </c>
      <c r="M157" s="146">
        <f>L157/$L$162</f>
        <v>0.9597019819655157</v>
      </c>
      <c r="N157" s="88">
        <f>434015.616127027*(('2022 IR Data Book'!$A$5))</f>
        <v>434015.61612702702</v>
      </c>
      <c r="O157" s="146">
        <f>N157/$N$162</f>
        <v>0.97144614149277442</v>
      </c>
      <c r="P157" s="148">
        <f t="shared" ref="P157:P160" si="59">L157-N157</f>
        <v>-54973.060139487032</v>
      </c>
      <c r="Q157" s="147">
        <f>(L157/N157)-1</f>
        <v>-0.12666147967219132</v>
      </c>
    </row>
    <row r="158" spans="2:17" x14ac:dyDescent="0.2">
      <c r="B158" s="20" t="s">
        <v>214</v>
      </c>
      <c r="C158" s="88">
        <f>1787.13926931157*(('2022 IR Data Book'!$A$5))</f>
        <v>1787.1392693115699</v>
      </c>
      <c r="D158" s="146">
        <f t="shared" si="56"/>
        <v>1.3559254649853488E-2</v>
      </c>
      <c r="E158" s="88">
        <f>0*(('2022 IR Data Book'!$A$5))</f>
        <v>0</v>
      </c>
      <c r="F158" s="146">
        <f t="shared" si="57"/>
        <v>0</v>
      </c>
      <c r="G158" s="82">
        <f t="shared" si="58"/>
        <v>1787.1392693115699</v>
      </c>
      <c r="H158" s="83" t="e">
        <f>(C158/E158)-1</f>
        <v>#DIV/0!</v>
      </c>
      <c r="I158" s="163"/>
      <c r="K158" s="20" t="s">
        <v>214</v>
      </c>
      <c r="L158" s="88">
        <f>4203.18593231092*(('2022 IR Data Book'!$A$5))</f>
        <v>4203.1859323109202</v>
      </c>
      <c r="M158" s="146">
        <f>L158/$L$162</f>
        <v>1.0642092308867198E-2</v>
      </c>
      <c r="N158" s="88">
        <f>0*(('2022 IR Data Book'!$A$5))</f>
        <v>0</v>
      </c>
      <c r="O158" s="146">
        <f>N158/$N$162</f>
        <v>0</v>
      </c>
      <c r="P158" s="82">
        <f t="shared" si="59"/>
        <v>4203.1859323109202</v>
      </c>
      <c r="Q158" s="83" t="e">
        <f>(L158/N158)-1</f>
        <v>#DIV/0!</v>
      </c>
    </row>
    <row r="159" spans="2:17" x14ac:dyDescent="0.2">
      <c r="B159" s="20" t="s">
        <v>215</v>
      </c>
      <c r="C159" s="88">
        <f>212.410829557654*(('2022 IR Data Book'!$A$5))</f>
        <v>212.41082955765401</v>
      </c>
      <c r="D159" s="146">
        <f t="shared" si="56"/>
        <v>1.6115881833139521E-3</v>
      </c>
      <c r="E159" s="88">
        <f>0*(('2022 IR Data Book'!$A$5))</f>
        <v>0</v>
      </c>
      <c r="F159" s="146">
        <f t="shared" si="57"/>
        <v>0</v>
      </c>
      <c r="G159" s="148">
        <f t="shared" si="58"/>
        <v>212.41082955765401</v>
      </c>
      <c r="H159" s="147" t="e">
        <f>(C159/E159)-1</f>
        <v>#DIV/0!</v>
      </c>
      <c r="I159" s="163"/>
      <c r="K159" s="20" t="s">
        <v>215</v>
      </c>
      <c r="L159" s="88">
        <f>212.410829557654*(('2022 IR Data Book'!$A$5))</f>
        <v>212.41082955765401</v>
      </c>
      <c r="M159" s="146">
        <f>L159/$L$162</f>
        <v>5.3780529625839936E-4</v>
      </c>
      <c r="N159" s="88">
        <f>0*(('2022 IR Data Book'!$A$5))</f>
        <v>0</v>
      </c>
      <c r="O159" s="146">
        <f>N159/$N$162</f>
        <v>0</v>
      </c>
      <c r="P159" s="148">
        <f t="shared" si="59"/>
        <v>212.41082955765401</v>
      </c>
      <c r="Q159" s="147" t="e">
        <f>(L159/N159)-1</f>
        <v>#DIV/0!</v>
      </c>
    </row>
    <row r="160" spans="2:17" x14ac:dyDescent="0.2">
      <c r="B160" s="20" t="s">
        <v>216</v>
      </c>
      <c r="C160" s="88">
        <f>-44142.2987618836*(('2022 IR Data Book'!$A$5))</f>
        <v>-44142.298761883598</v>
      </c>
      <c r="D160" s="146">
        <f t="shared" si="56"/>
        <v>-0.33491327733672172</v>
      </c>
      <c r="E160" s="88">
        <f>-39581.461843473*(('2022 IR Data Book'!$A$5))</f>
        <v>-39581.461843473</v>
      </c>
      <c r="F160" s="146">
        <f t="shared" si="57"/>
        <v>-0.23887865383308662</v>
      </c>
      <c r="G160" s="148">
        <f t="shared" si="58"/>
        <v>-4560.8369184105977</v>
      </c>
      <c r="H160" s="147">
        <f>(C160/E160)-1</f>
        <v>0.11522659108566202</v>
      </c>
      <c r="I160" s="163"/>
      <c r="K160" s="20" t="s">
        <v>216</v>
      </c>
      <c r="L160" s="88">
        <f>4223.37499987103*(('2022 IR Data Book'!$A$5))</f>
        <v>4223.37499987103</v>
      </c>
      <c r="M160" s="146">
        <f>L160/$L$162</f>
        <v>1.069320922923777E-2</v>
      </c>
      <c r="N160" s="88">
        <f>4411.22759467224*(('2022 IR Data Book'!$A$5))</f>
        <v>4411.2275946722402</v>
      </c>
      <c r="O160" s="146">
        <f>N160/$N$162</f>
        <v>9.8735388010476426E-3</v>
      </c>
      <c r="P160" s="148">
        <f t="shared" si="59"/>
        <v>-187.85259480121022</v>
      </c>
      <c r="Q160" s="147">
        <f>(L160/N160)-1</f>
        <v>-4.2585106020848529E-2</v>
      </c>
    </row>
    <row r="161" spans="2:17" x14ac:dyDescent="0.2">
      <c r="C161" s="88"/>
      <c r="D161" s="146"/>
      <c r="E161" s="88"/>
      <c r="F161" s="146"/>
      <c r="G161" s="148"/>
      <c r="H161" s="147"/>
      <c r="I161" s="163"/>
      <c r="L161" s="88"/>
      <c r="M161" s="146"/>
      <c r="N161" s="88"/>
      <c r="O161" s="146"/>
      <c r="P161" s="148"/>
      <c r="Q161" s="147"/>
    </row>
    <row r="162" spans="2:17" ht="15.75" x14ac:dyDescent="0.25">
      <c r="B162" s="138" t="s">
        <v>217</v>
      </c>
      <c r="C162" s="89">
        <f>SUM(C156:C160)</f>
        <v>131802.17611230427</v>
      </c>
      <c r="D162" s="146">
        <f>C162/$C$162</f>
        <v>1</v>
      </c>
      <c r="E162" s="89">
        <f>SUM(E156:E160)</f>
        <v>165696.9394642103</v>
      </c>
      <c r="F162" s="146">
        <f t="shared" si="57"/>
        <v>1</v>
      </c>
      <c r="G162" s="149">
        <f>C162-E162</f>
        <v>-33894.763351906033</v>
      </c>
      <c r="H162" s="150">
        <f>(C162/E162)-1</f>
        <v>-0.20455877737697825</v>
      </c>
      <c r="I162" s="241"/>
      <c r="K162" s="138" t="s">
        <v>217</v>
      </c>
      <c r="L162" s="89">
        <f>SUM(L156:L160)</f>
        <v>394958.60497364262</v>
      </c>
      <c r="M162" s="146">
        <f>L162/$L$162</f>
        <v>1</v>
      </c>
      <c r="N162" s="89">
        <f>SUM(N156:N160)</f>
        <v>446772.70060499304</v>
      </c>
      <c r="O162" s="146">
        <f>N162/$N$162</f>
        <v>1</v>
      </c>
      <c r="P162" s="149">
        <f>L162-N162</f>
        <v>-51814.095631350414</v>
      </c>
      <c r="Q162" s="150">
        <f>(L162/N162)-1</f>
        <v>-0.11597417559574885</v>
      </c>
    </row>
    <row r="163" spans="2:17" x14ac:dyDescent="0.2">
      <c r="C163" s="88">
        <v>0</v>
      </c>
      <c r="D163" s="151"/>
      <c r="E163" s="88">
        <v>0</v>
      </c>
      <c r="F163" s="151"/>
      <c r="G163" s="189"/>
      <c r="H163" s="147"/>
      <c r="I163" s="241"/>
      <c r="L163" s="88">
        <v>0</v>
      </c>
      <c r="M163" s="151"/>
      <c r="N163" s="88">
        <v>0</v>
      </c>
      <c r="O163" s="151"/>
      <c r="P163" s="189"/>
      <c r="Q163" s="147"/>
    </row>
    <row r="164" spans="2:17" ht="15.75" x14ac:dyDescent="0.25">
      <c r="B164" s="138" t="s">
        <v>34</v>
      </c>
      <c r="C164" s="89">
        <f>31495.9669567194*(('2022 IR Data Book'!$A$5))</f>
        <v>31495.9669567194</v>
      </c>
      <c r="D164" s="146">
        <f>C164/$C$162</f>
        <v>0.23896393736232951</v>
      </c>
      <c r="E164" s="89">
        <f>42903.4106390291*(('2022 IR Data Book'!$A$5))</f>
        <v>42903.410639029098</v>
      </c>
      <c r="F164" s="146">
        <f t="shared" si="57"/>
        <v>0.25892699513798817</v>
      </c>
      <c r="G164" s="149">
        <f>C164-E164</f>
        <v>-11407.443682309698</v>
      </c>
      <c r="H164" s="150">
        <f>(C164/E164)-1</f>
        <v>-0.26588663960278214</v>
      </c>
      <c r="I164" s="163"/>
      <c r="K164" s="138" t="s">
        <v>34</v>
      </c>
      <c r="L164" s="89">
        <f>93933.1462693746*(('2022 IR Data Book'!$A$5))</f>
        <v>93933.1462693746</v>
      </c>
      <c r="M164" s="146">
        <f>L164/$L$162</f>
        <v>0.23783035762860055</v>
      </c>
      <c r="N164" s="89">
        <f>120928.248668936*(('2022 IR Data Book'!$A$5))</f>
        <v>120928.24866893599</v>
      </c>
      <c r="O164" s="146">
        <f>N164/$N$162</f>
        <v>0.27067063073724545</v>
      </c>
      <c r="P164" s="149">
        <f>L164-N164</f>
        <v>-26995.102399561394</v>
      </c>
      <c r="Q164" s="150">
        <f>(L164/N164)-1</f>
        <v>-0.22323239356145486</v>
      </c>
    </row>
    <row r="165" spans="2:17" x14ac:dyDescent="0.2">
      <c r="I165" s="163"/>
    </row>
    <row r="166" spans="2:17" x14ac:dyDescent="0.2">
      <c r="B166" s="72" t="s">
        <v>218</v>
      </c>
      <c r="C166" s="161" t="str">
        <f>$C$6</f>
        <v>Q3'22</v>
      </c>
      <c r="D166" s="143"/>
      <c r="E166" s="161" t="str">
        <f>$E$6</f>
        <v>Q3'21</v>
      </c>
      <c r="G166" s="188" t="s">
        <v>211</v>
      </c>
      <c r="H166" s="161" t="s">
        <v>30</v>
      </c>
      <c r="I166" s="163"/>
      <c r="K166" s="72" t="s">
        <v>218</v>
      </c>
      <c r="L166" s="161" t="str">
        <f>$L$6</f>
        <v>Sep YTD 2022</v>
      </c>
      <c r="M166" s="143"/>
      <c r="N166" s="161" t="str">
        <f>$N$6</f>
        <v>Sep YTD 2021</v>
      </c>
      <c r="P166" s="188" t="s">
        <v>211</v>
      </c>
      <c r="Q166" s="161" t="s">
        <v>30</v>
      </c>
    </row>
    <row r="167" spans="2:17" ht="15.75" x14ac:dyDescent="0.25">
      <c r="B167" s="153" t="s">
        <v>219</v>
      </c>
      <c r="C167" s="84">
        <v>10561187</v>
      </c>
      <c r="E167" s="84">
        <v>13925938</v>
      </c>
      <c r="F167" s="91"/>
      <c r="G167" s="148">
        <f t="shared" ref="G167:G169" si="60">C167-E167</f>
        <v>-3364751</v>
      </c>
      <c r="H167" s="147">
        <f t="shared" ref="H167:H169" si="61">(C167/E167)-1</f>
        <v>-0.24161754849116801</v>
      </c>
      <c r="I167" s="164"/>
      <c r="K167" s="153" t="s">
        <v>219</v>
      </c>
      <c r="L167" s="84">
        <v>31132984</v>
      </c>
      <c r="N167" s="84">
        <v>37710715</v>
      </c>
      <c r="O167" s="91"/>
      <c r="P167" s="148">
        <f t="shared" ref="P167:P169" si="62">L167-N167</f>
        <v>-6577731</v>
      </c>
      <c r="Q167" s="147">
        <f t="shared" ref="Q167:Q169" si="63">(L167/N167)-1</f>
        <v>-0.17442604840560572</v>
      </c>
    </row>
    <row r="168" spans="2:17" ht="15.75" x14ac:dyDescent="0.25">
      <c r="B168" s="138" t="s">
        <v>212</v>
      </c>
      <c r="C168" s="162">
        <v>7288</v>
      </c>
      <c r="E168" s="162">
        <v>5138</v>
      </c>
      <c r="F168" s="152"/>
      <c r="G168" s="148">
        <f t="shared" si="60"/>
        <v>2150</v>
      </c>
      <c r="H168" s="147">
        <v>8.8418932527693839E-2</v>
      </c>
      <c r="I168" s="163"/>
      <c r="K168" s="138" t="s">
        <v>212</v>
      </c>
      <c r="L168" s="162">
        <v>17313</v>
      </c>
      <c r="N168" s="162">
        <v>14598</v>
      </c>
      <c r="O168" s="152"/>
      <c r="P168" s="148">
        <f t="shared" si="62"/>
        <v>2715</v>
      </c>
      <c r="Q168" s="147">
        <v>5.972515856236793E-2</v>
      </c>
    </row>
    <row r="169" spans="2:17" x14ac:dyDescent="0.2">
      <c r="B169" s="155"/>
      <c r="C169" s="156">
        <f>C168+C167</f>
        <v>10568475</v>
      </c>
      <c r="D169" s="155"/>
      <c r="E169" s="156">
        <f>E168+E167</f>
        <v>13931076</v>
      </c>
      <c r="F169" s="155"/>
      <c r="G169" s="148">
        <f t="shared" si="60"/>
        <v>-3362601</v>
      </c>
      <c r="H169" s="147">
        <f t="shared" si="61"/>
        <v>-0.24137410491479627</v>
      </c>
      <c r="I169" s="165"/>
      <c r="K169" s="155"/>
      <c r="L169" s="156">
        <f>L168+L167</f>
        <v>31150297</v>
      </c>
      <c r="M169" s="155"/>
      <c r="N169" s="156">
        <f>N168+N167</f>
        <v>37725313</v>
      </c>
      <c r="O169" s="155"/>
      <c r="P169" s="148">
        <f t="shared" si="62"/>
        <v>-6575016</v>
      </c>
      <c r="Q169" s="147">
        <f t="shared" si="63"/>
        <v>-0.17428658577332412</v>
      </c>
    </row>
    <row r="170" spans="2:17" x14ac:dyDescent="0.2">
      <c r="I170" s="163"/>
    </row>
    <row r="171" spans="2:17" ht="18.75" x14ac:dyDescent="0.3">
      <c r="B171" s="142" t="s">
        <v>203</v>
      </c>
      <c r="I171" s="163"/>
      <c r="K171" s="142" t="s">
        <v>203</v>
      </c>
    </row>
    <row r="172" spans="2:17" x14ac:dyDescent="0.2">
      <c r="B172" s="59" t="str">
        <f>$B$3</f>
        <v xml:space="preserve">Q3'22 vs Q3'21 </v>
      </c>
      <c r="I172" s="163"/>
      <c r="K172" s="59" t="str">
        <f>$B$3</f>
        <v xml:space="preserve">Q3'22 vs Q3'21 </v>
      </c>
    </row>
    <row r="173" spans="2:17" x14ac:dyDescent="0.2">
      <c r="B173" s="51" t="s">
        <v>209</v>
      </c>
      <c r="I173" s="163"/>
      <c r="K173" s="51" t="s">
        <v>209</v>
      </c>
    </row>
    <row r="174" spans="2:17" x14ac:dyDescent="0.2">
      <c r="C174" s="161" t="s">
        <v>210</v>
      </c>
      <c r="D174" s="143"/>
      <c r="E174" s="161" t="s">
        <v>210</v>
      </c>
      <c r="I174" s="163"/>
      <c r="L174" s="161" t="s">
        <v>210</v>
      </c>
      <c r="M174" s="143"/>
      <c r="N174" s="161" t="s">
        <v>210</v>
      </c>
    </row>
    <row r="175" spans="2:17" x14ac:dyDescent="0.2">
      <c r="B175" s="144"/>
      <c r="C175" s="161" t="str">
        <f>$C$6</f>
        <v>Q3'22</v>
      </c>
      <c r="D175" s="143"/>
      <c r="E175" s="161" t="str">
        <f>$E$6</f>
        <v>Q3'21</v>
      </c>
      <c r="G175" s="188" t="s">
        <v>211</v>
      </c>
      <c r="H175" s="161" t="s">
        <v>30</v>
      </c>
      <c r="I175" s="163"/>
      <c r="K175" s="144"/>
      <c r="L175" s="161" t="str">
        <f>$L$6</f>
        <v>Sep YTD 2022</v>
      </c>
      <c r="M175" s="143"/>
      <c r="N175" s="161" t="str">
        <f>$N$6</f>
        <v>Sep YTD 2021</v>
      </c>
      <c r="P175" s="188" t="s">
        <v>211</v>
      </c>
      <c r="Q175" s="161" t="s">
        <v>30</v>
      </c>
    </row>
    <row r="176" spans="2:17" x14ac:dyDescent="0.2">
      <c r="H176" s="145"/>
      <c r="I176" s="163"/>
      <c r="Q176" s="145"/>
    </row>
    <row r="177" spans="2:17" x14ac:dyDescent="0.2">
      <c r="B177" s="20" t="s">
        <v>212</v>
      </c>
      <c r="C177" s="88">
        <f>6800.19749741973*(('2022 IR Data Book'!$A$5))</f>
        <v>6800.1974974197301</v>
      </c>
      <c r="D177" s="146">
        <f>C177/$C$183</f>
        <v>1.0147754033803098</v>
      </c>
      <c r="E177" s="88">
        <f>8197.054832346*(('2022 IR Data Book'!$A$5))</f>
        <v>8197.0548323460007</v>
      </c>
      <c r="F177" s="146">
        <f>E177/$E$183</f>
        <v>1.0904690526394454</v>
      </c>
      <c r="G177" s="148">
        <f>C177-E177</f>
        <v>-1396.8573349262706</v>
      </c>
      <c r="H177" s="147">
        <f>(C177/E177)-1</f>
        <v>-0.17040966096923005</v>
      </c>
      <c r="I177" s="163"/>
      <c r="K177" s="20" t="s">
        <v>212</v>
      </c>
      <c r="L177" s="88">
        <f>20288.8453538524*(('2022 IR Data Book'!$A$5))</f>
        <v>20288.845353852401</v>
      </c>
      <c r="M177" s="146">
        <f>L177/$L$183</f>
        <v>0.94672950261175681</v>
      </c>
      <c r="N177" s="88">
        <f>25101.3014400978*(('2022 IR Data Book'!$A$5))</f>
        <v>25101.301440097799</v>
      </c>
      <c r="O177" s="146">
        <f>N177/$N$183</f>
        <v>0.97929414782443192</v>
      </c>
      <c r="P177" s="148">
        <f>L177-N177</f>
        <v>-4812.4560862453982</v>
      </c>
      <c r="Q177" s="147">
        <f>(L177/N177)-1</f>
        <v>-0.19172137738475159</v>
      </c>
    </row>
    <row r="178" spans="2:17" x14ac:dyDescent="0.2">
      <c r="B178" s="20" t="s">
        <v>213</v>
      </c>
      <c r="C178" s="88">
        <f>0*(('2022 IR Data Book'!$A$5))</f>
        <v>0</v>
      </c>
      <c r="D178" s="146">
        <f t="shared" ref="D178:D181" si="64">C178/$C$183</f>
        <v>0</v>
      </c>
      <c r="E178" s="88">
        <f>0*(('2022 IR Data Book'!$A$5))</f>
        <v>0</v>
      </c>
      <c r="F178" s="146">
        <f t="shared" ref="F178:F181" si="65">E178/$E$183</f>
        <v>0</v>
      </c>
      <c r="G178" s="148">
        <f t="shared" ref="G178:G181" si="66">C178-E178</f>
        <v>0</v>
      </c>
      <c r="H178" s="147" t="e">
        <f>(C178/E178)-1</f>
        <v>#DIV/0!</v>
      </c>
      <c r="I178" s="163"/>
      <c r="K178" s="20" t="s">
        <v>213</v>
      </c>
      <c r="L178" s="88">
        <f>0*(('2022 IR Data Book'!$A$5))</f>
        <v>0</v>
      </c>
      <c r="M178" s="146">
        <f>L178/$L$183</f>
        <v>0</v>
      </c>
      <c r="N178" s="88">
        <f>0*(('2022 IR Data Book'!$A$5))</f>
        <v>0</v>
      </c>
      <c r="O178" s="146">
        <f>N178/$N$183</f>
        <v>0</v>
      </c>
      <c r="P178" s="148">
        <f t="shared" ref="P178:P181" si="67">L178-N178</f>
        <v>0</v>
      </c>
      <c r="Q178" s="147" t="e">
        <f>(L178/N178)-1</f>
        <v>#DIV/0!</v>
      </c>
    </row>
    <row r="179" spans="2:17" x14ac:dyDescent="0.2">
      <c r="B179" s="20" t="s">
        <v>214</v>
      </c>
      <c r="C179" s="88">
        <f>0*(('2022 IR Data Book'!$A$5))</f>
        <v>0</v>
      </c>
      <c r="D179" s="146">
        <f t="shared" si="64"/>
        <v>0</v>
      </c>
      <c r="E179" s="88">
        <f>0*(('2022 IR Data Book'!$A$5))</f>
        <v>0</v>
      </c>
      <c r="F179" s="146">
        <f t="shared" si="65"/>
        <v>0</v>
      </c>
      <c r="G179" s="82">
        <f t="shared" si="66"/>
        <v>0</v>
      </c>
      <c r="H179" s="83" t="e">
        <f>(C179/E179)-1</f>
        <v>#DIV/0!</v>
      </c>
      <c r="I179" s="163"/>
      <c r="K179" s="20" t="s">
        <v>214</v>
      </c>
      <c r="L179" s="88">
        <f>0*(('2022 IR Data Book'!$A$5))</f>
        <v>0</v>
      </c>
      <c r="M179" s="146">
        <f>L179/$L$183</f>
        <v>0</v>
      </c>
      <c r="N179" s="88">
        <f>0*(('2022 IR Data Book'!$A$5))</f>
        <v>0</v>
      </c>
      <c r="O179" s="146">
        <f>N179/$N$183</f>
        <v>0</v>
      </c>
      <c r="P179" s="82">
        <f t="shared" si="67"/>
        <v>0</v>
      </c>
      <c r="Q179" s="83" t="e">
        <f>(L179/N179)-1</f>
        <v>#DIV/0!</v>
      </c>
    </row>
    <row r="180" spans="2:17" x14ac:dyDescent="0.2">
      <c r="B180" s="20" t="s">
        <v>215</v>
      </c>
      <c r="C180" s="88">
        <f>0*(('2022 IR Data Book'!$A$5))</f>
        <v>0</v>
      </c>
      <c r="D180" s="146">
        <f t="shared" si="64"/>
        <v>0</v>
      </c>
      <c r="E180" s="88">
        <f>0*(('2022 IR Data Book'!$A$5))</f>
        <v>0</v>
      </c>
      <c r="F180" s="146">
        <f t="shared" si="65"/>
        <v>0</v>
      </c>
      <c r="G180" s="148">
        <f t="shared" si="66"/>
        <v>0</v>
      </c>
      <c r="H180" s="147" t="e">
        <f>(C180/E180)-1</f>
        <v>#DIV/0!</v>
      </c>
      <c r="I180" s="163"/>
      <c r="K180" s="20" t="s">
        <v>215</v>
      </c>
      <c r="L180" s="88">
        <f>0*(('2022 IR Data Book'!$A$5))</f>
        <v>0</v>
      </c>
      <c r="M180" s="146">
        <f>L180/$L$183</f>
        <v>0</v>
      </c>
      <c r="N180" s="88">
        <f>0*(('2022 IR Data Book'!$A$5))</f>
        <v>0</v>
      </c>
      <c r="O180" s="146">
        <f>N180/$N$183</f>
        <v>0</v>
      </c>
      <c r="P180" s="148">
        <f t="shared" si="67"/>
        <v>0</v>
      </c>
      <c r="Q180" s="147" t="e">
        <f>(L180/N180)-1</f>
        <v>#DIV/0!</v>
      </c>
    </row>
    <row r="181" spans="2:17" x14ac:dyDescent="0.2">
      <c r="B181" s="20" t="s">
        <v>216</v>
      </c>
      <c r="C181" s="88">
        <f>-99.012708384*(('2022 IR Data Book'!$A$5))</f>
        <v>-99.012708384000007</v>
      </c>
      <c r="D181" s="146">
        <f t="shared" si="64"/>
        <v>-1.4775403380309929E-2</v>
      </c>
      <c r="E181" s="88">
        <f>-680.055782712*(('2022 IR Data Book'!$A$5))</f>
        <v>-680.055782712</v>
      </c>
      <c r="F181" s="146">
        <f t="shared" si="65"/>
        <v>-9.0469052639445477E-2</v>
      </c>
      <c r="G181" s="148">
        <f t="shared" si="66"/>
        <v>581.04307432799999</v>
      </c>
      <c r="H181" s="147">
        <f>(C181/E181)-1</f>
        <v>-0.85440501955715098</v>
      </c>
      <c r="I181" s="163"/>
      <c r="K181" s="20" t="s">
        <v>216</v>
      </c>
      <c r="L181" s="88">
        <f>1141.611073122*(('2022 IR Data Book'!$A$5))</f>
        <v>1141.6110731220001</v>
      </c>
      <c r="M181" s="146">
        <f>L181/$L$183</f>
        <v>5.3270497388243229E-2</v>
      </c>
      <c r="N181" s="88">
        <f>530.73311853*(('2022 IR Data Book'!$A$5))</f>
        <v>530.73311852999996</v>
      </c>
      <c r="O181" s="146">
        <f>N181/$N$183</f>
        <v>2.0705852175568095E-2</v>
      </c>
      <c r="P181" s="148">
        <f t="shared" si="67"/>
        <v>610.87795459200015</v>
      </c>
      <c r="Q181" s="147">
        <f>(L181/N181)-1</f>
        <v>1.1510077914187486</v>
      </c>
    </row>
    <row r="182" spans="2:17" x14ac:dyDescent="0.2">
      <c r="C182" s="88"/>
      <c r="D182" s="146"/>
      <c r="E182" s="88"/>
      <c r="F182" s="146"/>
      <c r="G182" s="148"/>
      <c r="H182" s="147"/>
      <c r="I182" s="163"/>
      <c r="L182" s="88"/>
      <c r="M182" s="146"/>
      <c r="N182" s="88"/>
      <c r="O182" s="146"/>
      <c r="P182" s="148"/>
      <c r="Q182" s="147"/>
    </row>
    <row r="183" spans="2:17" ht="15.75" x14ac:dyDescent="0.25">
      <c r="B183" s="138" t="s">
        <v>217</v>
      </c>
      <c r="C183" s="89">
        <f>SUM(C177:C181)</f>
        <v>6701.1847890357303</v>
      </c>
      <c r="D183" s="146">
        <f>C183/$C$183</f>
        <v>1</v>
      </c>
      <c r="E183" s="89">
        <f>SUM(E177:E181)</f>
        <v>7516.9990496340006</v>
      </c>
      <c r="F183" s="146">
        <f>E183/$E$183</f>
        <v>1</v>
      </c>
      <c r="G183" s="149">
        <f>C183-E183</f>
        <v>-815.81426059827027</v>
      </c>
      <c r="H183" s="150">
        <f>(C183/E183)-1</f>
        <v>-0.10852924886800297</v>
      </c>
      <c r="I183" s="163"/>
      <c r="K183" s="138" t="s">
        <v>217</v>
      </c>
      <c r="L183" s="89">
        <f>SUM(L177:L181)</f>
        <v>21430.456426974401</v>
      </c>
      <c r="M183" s="146">
        <f>L183/$L$183</f>
        <v>1</v>
      </c>
      <c r="N183" s="89">
        <f>SUM(N177:N181)</f>
        <v>25632.034558627798</v>
      </c>
      <c r="O183" s="146">
        <f>N183/$N$183</f>
        <v>1</v>
      </c>
      <c r="P183" s="149">
        <f>L183-N183</f>
        <v>-4201.5781316533976</v>
      </c>
      <c r="Q183" s="150">
        <f>(L183/N183)-1</f>
        <v>-0.16391902570368289</v>
      </c>
    </row>
    <row r="184" spans="2:17" x14ac:dyDescent="0.2">
      <c r="C184" s="88">
        <v>0</v>
      </c>
      <c r="D184" s="151"/>
      <c r="E184" s="88">
        <v>0</v>
      </c>
      <c r="F184" s="151"/>
      <c r="G184" s="189"/>
      <c r="H184" s="147"/>
      <c r="I184" s="163"/>
      <c r="L184" s="88">
        <v>0</v>
      </c>
      <c r="M184" s="151"/>
      <c r="N184" s="88">
        <v>0</v>
      </c>
      <c r="O184" s="151"/>
      <c r="P184" s="189"/>
      <c r="Q184" s="147"/>
    </row>
    <row r="185" spans="2:17" ht="15.75" x14ac:dyDescent="0.25">
      <c r="B185" s="138" t="s">
        <v>34</v>
      </c>
      <c r="C185" s="89">
        <f>25457.682962716*(('2022 IR Data Book'!$A$5))</f>
        <v>25457.682962716</v>
      </c>
      <c r="D185" s="146"/>
      <c r="E185" s="89">
        <f>33806.8420527327*(('2022 IR Data Book'!$A$5))</f>
        <v>33806.842052732703</v>
      </c>
      <c r="F185" s="152"/>
      <c r="G185" s="149">
        <f>C185-E185</f>
        <v>-8349.159090016703</v>
      </c>
      <c r="H185" s="150">
        <f>(C185/E185)-1</f>
        <v>-0.24696654828018216</v>
      </c>
      <c r="I185" s="163"/>
      <c r="K185" s="138" t="s">
        <v>34</v>
      </c>
      <c r="L185" s="89">
        <f>101601.859318522*(('2022 IR Data Book'!$A$5))</f>
        <v>101601.85931852199</v>
      </c>
      <c r="M185" s="146"/>
      <c r="N185" s="89">
        <f>114937.605597237*(('2022 IR Data Book'!$A$5))</f>
        <v>114937.60559723699</v>
      </c>
      <c r="O185" s="152"/>
      <c r="P185" s="149">
        <f>L185-N185</f>
        <v>-13335.746278715</v>
      </c>
      <c r="Q185" s="150">
        <f>(L185/N185)-1</f>
        <v>-0.11602596216808247</v>
      </c>
    </row>
    <row r="186" spans="2:17" x14ac:dyDescent="0.2">
      <c r="C186" s="2">
        <f>C185/C183</f>
        <v>3.7989823835882079</v>
      </c>
      <c r="E186" s="2">
        <f>E185/E183</f>
        <v>4.4973854365963692</v>
      </c>
      <c r="I186" s="163"/>
      <c r="L186" s="2">
        <f>L185/L183</f>
        <v>4.7410030516492538</v>
      </c>
      <c r="N186" s="2">
        <f>N185/N183</f>
        <v>4.4841389915553442</v>
      </c>
    </row>
    <row r="187" spans="2:17" x14ac:dyDescent="0.2">
      <c r="B187" s="155"/>
      <c r="C187" s="155"/>
      <c r="D187" s="155"/>
      <c r="E187" s="155"/>
      <c r="F187" s="155"/>
      <c r="G187" s="36"/>
      <c r="H187" s="155"/>
      <c r="I187" s="165"/>
      <c r="K187" s="155"/>
      <c r="L187" s="155"/>
      <c r="M187" s="155"/>
      <c r="N187" s="155"/>
      <c r="O187" s="155"/>
      <c r="P187" s="36"/>
      <c r="Q187" s="155"/>
    </row>
    <row r="188" spans="2:17" x14ac:dyDescent="0.2">
      <c r="I188" s="163"/>
    </row>
    <row r="189" spans="2:17" ht="18.75" x14ac:dyDescent="0.3">
      <c r="B189" s="142" t="s">
        <v>223</v>
      </c>
      <c r="I189" s="163"/>
      <c r="K189" s="142" t="s">
        <v>223</v>
      </c>
    </row>
    <row r="190" spans="2:17" x14ac:dyDescent="0.2">
      <c r="B190" s="59" t="str">
        <f>$B$3</f>
        <v xml:space="preserve">Q3'22 vs Q3'21 </v>
      </c>
      <c r="I190" s="163"/>
      <c r="K190" s="59" t="str">
        <f>$B$3</f>
        <v xml:space="preserve">Q3'22 vs Q3'21 </v>
      </c>
    </row>
    <row r="191" spans="2:17" x14ac:dyDescent="0.2">
      <c r="B191" s="51" t="s">
        <v>209</v>
      </c>
      <c r="I191" s="163"/>
      <c r="K191" s="51" t="s">
        <v>209</v>
      </c>
    </row>
    <row r="192" spans="2:17" x14ac:dyDescent="0.2">
      <c r="C192" s="161" t="s">
        <v>210</v>
      </c>
      <c r="D192" s="143"/>
      <c r="E192" s="161" t="s">
        <v>210</v>
      </c>
      <c r="I192" s="163"/>
      <c r="L192" s="161" t="s">
        <v>210</v>
      </c>
      <c r="M192" s="143"/>
      <c r="N192" s="161" t="s">
        <v>210</v>
      </c>
    </row>
    <row r="193" spans="2:17" x14ac:dyDescent="0.2">
      <c r="B193" s="144"/>
      <c r="C193" s="161" t="str">
        <f>$C$6</f>
        <v>Q3'22</v>
      </c>
      <c r="D193" s="143"/>
      <c r="E193" s="161" t="str">
        <f>$E$6</f>
        <v>Q3'21</v>
      </c>
      <c r="G193" s="188" t="s">
        <v>211</v>
      </c>
      <c r="H193" s="161" t="s">
        <v>30</v>
      </c>
      <c r="I193" s="163"/>
      <c r="K193" s="144"/>
      <c r="L193" s="161" t="str">
        <f>$L$6</f>
        <v>Sep YTD 2022</v>
      </c>
      <c r="M193" s="143"/>
      <c r="N193" s="161" t="str">
        <f>$N$6</f>
        <v>Sep YTD 2021</v>
      </c>
      <c r="P193" s="188" t="s">
        <v>211</v>
      </c>
      <c r="Q193" s="161" t="s">
        <v>30</v>
      </c>
    </row>
    <row r="194" spans="2:17" x14ac:dyDescent="0.2">
      <c r="H194" s="145"/>
      <c r="I194" s="163"/>
      <c r="Q194" s="145"/>
    </row>
    <row r="195" spans="2:17" x14ac:dyDescent="0.2">
      <c r="B195" s="20" t="s">
        <v>212</v>
      </c>
      <c r="C195" s="88">
        <f>C8+C30+C51+C72+C93+C114+C135+C156+C177</f>
        <v>496499.90064809495</v>
      </c>
      <c r="D195" s="146">
        <f>C195/$C$201</f>
        <v>0.34811550951802284</v>
      </c>
      <c r="E195" s="88">
        <f>E8+E30+E51+E72+E93+E114+E135+E156+E177</f>
        <v>608876.82189430518</v>
      </c>
      <c r="F195" s="146">
        <f>E195/$E$201</f>
        <v>0.41663821483764968</v>
      </c>
      <c r="G195" s="148">
        <f>C195-E195</f>
        <v>-112376.92124621023</v>
      </c>
      <c r="H195" s="147">
        <f>(C195/E195)-1</f>
        <v>-0.18456429478886904</v>
      </c>
      <c r="I195" s="163"/>
      <c r="K195" s="20" t="s">
        <v>212</v>
      </c>
      <c r="L195" s="88">
        <f>L8+L30+L51+L72+L93+L114+L135+L156+L177</f>
        <v>1641336.1398646031</v>
      </c>
      <c r="M195" s="146">
        <f>L195/$L$201</f>
        <v>0.37372989854436789</v>
      </c>
      <c r="N195" s="88">
        <f>N8+N30+N51+N72+N93+N114+N135+N156+N177</f>
        <v>1988956.8500534515</v>
      </c>
      <c r="O195" s="146">
        <f>N195/$N$201</f>
        <v>0.44622852781772249</v>
      </c>
      <c r="P195" s="148">
        <f>L195-N195</f>
        <v>-347620.71018884843</v>
      </c>
      <c r="Q195" s="147">
        <f>(L195/N195)-1</f>
        <v>-0.17477539051664515</v>
      </c>
    </row>
    <row r="196" spans="2:17" x14ac:dyDescent="0.2">
      <c r="B196" s="20" t="s">
        <v>213</v>
      </c>
      <c r="C196" s="88">
        <f>C9+C31+C52+C73+C94+C115+C136+C157+C178</f>
        <v>416535.44786303909</v>
      </c>
      <c r="D196" s="146">
        <f t="shared" ref="D196:D199" si="68">C196/$C$201</f>
        <v>0.29204930247898142</v>
      </c>
      <c r="E196" s="88">
        <f>E9+E31+E52+E73+E94+E115+E136+E157+E178</f>
        <v>460774.94076774025</v>
      </c>
      <c r="F196" s="146">
        <f t="shared" ref="F196:F199" si="69">E196/$E$201</f>
        <v>0.31529603666982781</v>
      </c>
      <c r="G196" s="148">
        <f t="shared" ref="G196:G199" si="70">C196-E196</f>
        <v>-44239.492904701154</v>
      </c>
      <c r="H196" s="147">
        <f>(C196/E196)-1</f>
        <v>-9.6011065252354255E-2</v>
      </c>
      <c r="I196" s="163"/>
      <c r="K196" s="20" t="s">
        <v>213</v>
      </c>
      <c r="L196" s="88">
        <f>L9+L31+L52+L73+L94+L115+L136+L157+L178</f>
        <v>1118954.2287755874</v>
      </c>
      <c r="M196" s="146">
        <f>L196/$L$201</f>
        <v>0.25478428229246736</v>
      </c>
      <c r="N196" s="88">
        <f>N9+N31+N52+N73+N94+N115+N136+N157+N178</f>
        <v>1183618.728959407</v>
      </c>
      <c r="O196" s="146">
        <f>N196/$N$201</f>
        <v>0.26554846723137615</v>
      </c>
      <c r="P196" s="148">
        <f t="shared" ref="P196:P199" si="71">L196-N196</f>
        <v>-64664.50018381956</v>
      </c>
      <c r="Q196" s="147">
        <f>(L196/N196)-1</f>
        <v>-5.4632880167982956E-2</v>
      </c>
    </row>
    <row r="197" spans="2:17" x14ac:dyDescent="0.2">
      <c r="B197" s="20" t="s">
        <v>214</v>
      </c>
      <c r="C197" s="88">
        <f>C10+C32+C53+C74+C95+C116+C137+C158+C179</f>
        <v>439529.9340002712</v>
      </c>
      <c r="D197" s="146">
        <f t="shared" si="68"/>
        <v>0.30817163653648849</v>
      </c>
      <c r="E197" s="88">
        <f>E10+E32+E53+E74+E95+E116+E137+E158+E179</f>
        <v>317999.95676059253</v>
      </c>
      <c r="F197" s="146">
        <f t="shared" si="69"/>
        <v>0.21759891252057242</v>
      </c>
      <c r="G197" s="82">
        <f t="shared" si="70"/>
        <v>121529.97723967867</v>
      </c>
      <c r="H197" s="83">
        <f>(C197/E197)-1</f>
        <v>0.38216979171218246</v>
      </c>
      <c r="I197" s="163"/>
      <c r="K197" s="20" t="s">
        <v>214</v>
      </c>
      <c r="L197" s="88">
        <f>L10+L32+L53+L74+L95+L116+L137+L158+L179</f>
        <v>1263072.6606100784</v>
      </c>
      <c r="M197" s="146">
        <f>L197/$L$201</f>
        <v>0.28759984371203184</v>
      </c>
      <c r="N197" s="88">
        <f>N10+N32+N53+N74+N95+N116+N137+N158+N179</f>
        <v>934875.36291958275</v>
      </c>
      <c r="O197" s="146">
        <f>N197/$N$201</f>
        <v>0.20974213536983138</v>
      </c>
      <c r="P197" s="82">
        <f t="shared" si="71"/>
        <v>328197.29769049562</v>
      </c>
      <c r="Q197" s="83">
        <f>(L197/N197)-1</f>
        <v>0.351059949494815</v>
      </c>
    </row>
    <row r="198" spans="2:17" x14ac:dyDescent="0.2">
      <c r="B198" s="20" t="s">
        <v>215</v>
      </c>
      <c r="C198" s="88">
        <f>C11+C33+C54+C75+C96+C117+C138+C159+C180</f>
        <v>110474.51580175549</v>
      </c>
      <c r="D198" s="146">
        <f t="shared" si="68"/>
        <v>7.745800614840978E-2</v>
      </c>
      <c r="E198" s="88">
        <f>E11+E33+E54+E75+E96+E117+E138+E159+E180</f>
        <v>108445.00995301374</v>
      </c>
      <c r="F198" s="146">
        <f t="shared" si="69"/>
        <v>7.4206035983281349E-2</v>
      </c>
      <c r="G198" s="148">
        <f t="shared" si="70"/>
        <v>2029.5058487417555</v>
      </c>
      <c r="H198" s="147">
        <f>(C198/E198)-1</f>
        <v>1.8714607980773623E-2</v>
      </c>
      <c r="I198" s="163"/>
      <c r="K198" s="20" t="s">
        <v>215</v>
      </c>
      <c r="L198" s="88">
        <f>L11+L33+L54+L75+L96+L117+L138+L159+L180</f>
        <v>334335.92965874821</v>
      </c>
      <c r="M198" s="146">
        <f>L198/$L$201</f>
        <v>7.6127814428925189E-2</v>
      </c>
      <c r="N198" s="88">
        <f>N11+N33+N54+N75+N96+N117+N138+N159+N180</f>
        <v>321839.6183949621</v>
      </c>
      <c r="O198" s="146">
        <f>N198/$N$201</f>
        <v>7.2205698733957963E-2</v>
      </c>
      <c r="P198" s="148">
        <f t="shared" si="71"/>
        <v>12496.311263786105</v>
      </c>
      <c r="Q198" s="147">
        <f>(L198/N198)-1</f>
        <v>3.8827759385578808E-2</v>
      </c>
    </row>
    <row r="199" spans="2:17" x14ac:dyDescent="0.2">
      <c r="B199" s="20" t="s">
        <v>216</v>
      </c>
      <c r="C199" s="88">
        <f>C12+C34+C55+C76+C97+C118+C139+C160+C181</f>
        <v>-36789.352489832912</v>
      </c>
      <c r="D199" s="146">
        <f t="shared" si="68"/>
        <v>-2.5794454681902397E-2</v>
      </c>
      <c r="E199" s="88">
        <f>E12+E34+E55+E76+E97+E118+E139+E160+E181</f>
        <v>-34692.565737986799</v>
      </c>
      <c r="F199" s="146">
        <f t="shared" si="69"/>
        <v>-2.3739200011331257E-2</v>
      </c>
      <c r="G199" s="148">
        <f t="shared" si="70"/>
        <v>-2096.7867518461135</v>
      </c>
      <c r="H199" s="147">
        <f>(C199/E199)-1</f>
        <v>6.0439079879013535E-2</v>
      </c>
      <c r="I199" s="163"/>
      <c r="K199" s="20" t="s">
        <v>216</v>
      </c>
      <c r="L199" s="88">
        <f>L12+L34+L55+L76+L97+L118+L139+L160+L181</f>
        <v>34072.066790039833</v>
      </c>
      <c r="M199" s="146">
        <f>L199/$L$201</f>
        <v>7.7581610222077638E-3</v>
      </c>
      <c r="N199" s="88">
        <f>N12+N34+N55+N76+N97+N118+N139+N160+N181</f>
        <v>27970.07197782159</v>
      </c>
      <c r="O199" s="146">
        <f>N199/$N$201</f>
        <v>6.275170847111964E-3</v>
      </c>
      <c r="P199" s="148">
        <f t="shared" si="71"/>
        <v>6101.9948122182432</v>
      </c>
      <c r="Q199" s="147">
        <f>(L199/N199)-1</f>
        <v>0.21816156987571289</v>
      </c>
    </row>
    <row r="200" spans="2:17" x14ac:dyDescent="0.2">
      <c r="C200" s="88"/>
      <c r="D200" s="146"/>
      <c r="E200" s="88"/>
      <c r="F200" s="146"/>
      <c r="G200" s="148"/>
      <c r="H200" s="147"/>
      <c r="I200" s="163"/>
      <c r="L200" s="88"/>
      <c r="M200" s="146"/>
      <c r="N200" s="88"/>
      <c r="O200" s="146"/>
      <c r="P200" s="148"/>
      <c r="Q200" s="147"/>
    </row>
    <row r="201" spans="2:17" ht="15.75" x14ac:dyDescent="0.25">
      <c r="B201" s="138" t="s">
        <v>217</v>
      </c>
      <c r="C201" s="89">
        <f>SUM(C195:C199)</f>
        <v>1426250.4458233276</v>
      </c>
      <c r="D201" s="146">
        <f>C201/$C$201</f>
        <v>1</v>
      </c>
      <c r="E201" s="89">
        <f>SUM(E195:E199)</f>
        <v>1461404.1636376649</v>
      </c>
      <c r="F201" s="146">
        <f>E201/$E$201</f>
        <v>1</v>
      </c>
      <c r="G201" s="149">
        <f>C201-E201</f>
        <v>-35153.717814337229</v>
      </c>
      <c r="H201" s="150">
        <f>(C201/E201)-1</f>
        <v>-2.4054754111849541E-2</v>
      </c>
      <c r="I201" s="163"/>
      <c r="K201" s="138" t="s">
        <v>217</v>
      </c>
      <c r="L201" s="89">
        <f>SUM(L195:L199)</f>
        <v>4391771.0256990567</v>
      </c>
      <c r="M201" s="146">
        <f>L201/$L$201</f>
        <v>1</v>
      </c>
      <c r="N201" s="89">
        <f>SUM(N195:N199)</f>
        <v>4457260.6323052254</v>
      </c>
      <c r="O201" s="146">
        <f>N201/$N$201</f>
        <v>1</v>
      </c>
      <c r="P201" s="149">
        <f>L201-N201</f>
        <v>-65489.606606168672</v>
      </c>
      <c r="Q201" s="150">
        <f>(L201/N201)-1</f>
        <v>-1.4692792728231985E-2</v>
      </c>
    </row>
    <row r="202" spans="2:17" x14ac:dyDescent="0.2">
      <c r="C202" s="226">
        <v>-6.669370923191309E-4</v>
      </c>
      <c r="D202" s="154"/>
      <c r="E202" s="226">
        <v>0</v>
      </c>
      <c r="F202" s="151"/>
      <c r="G202" s="189"/>
      <c r="H202" s="147"/>
      <c r="I202" s="163"/>
      <c r="L202" s="88">
        <v>-3.5695172846317291E-4</v>
      </c>
      <c r="M202" s="151"/>
      <c r="N202" s="88">
        <v>1.7955265939235687E-3</v>
      </c>
      <c r="O202" s="151"/>
      <c r="P202" s="189"/>
      <c r="Q202" s="147"/>
    </row>
    <row r="203" spans="2:17" ht="15.75" x14ac:dyDescent="0.25">
      <c r="B203" s="138" t="s">
        <v>34</v>
      </c>
      <c r="C203" s="89">
        <f>C16+C38+C59+C80+C101+C122+C143+C164+C185</f>
        <v>320827.09131449659</v>
      </c>
      <c r="D203" s="152"/>
      <c r="E203" s="89">
        <f>E16+E38+E59+E80+E101+E122+E143+E164+E185</f>
        <v>356079.6572071194</v>
      </c>
      <c r="F203" s="152"/>
      <c r="G203" s="149">
        <f>C203-E203</f>
        <v>-35252.565892622806</v>
      </c>
      <c r="H203" s="150">
        <f>(C203/E203)-1</f>
        <v>-9.900190920515739E-2</v>
      </c>
      <c r="I203" s="163"/>
      <c r="K203" s="138" t="s">
        <v>34</v>
      </c>
      <c r="L203" s="89">
        <f>L16+L38+L59+L80+L101+L122+L143+L164+L185</f>
        <v>1043550.0920580889</v>
      </c>
      <c r="M203" s="152"/>
      <c r="N203" s="89">
        <f>N16+N38+N59+N80+N101+N122+N143+N164+N185</f>
        <v>1103390.7076068812</v>
      </c>
      <c r="O203" s="152"/>
      <c r="P203" s="149">
        <f>L203-N203</f>
        <v>-59840.615548792295</v>
      </c>
      <c r="Q203" s="150">
        <f>(L203/N203)-1</f>
        <v>-5.4233387263682209E-2</v>
      </c>
    </row>
    <row r="204" spans="2:17" x14ac:dyDescent="0.2">
      <c r="C204" s="91">
        <v>0</v>
      </c>
      <c r="E204" s="91">
        <v>3.8554426282644272E-6</v>
      </c>
      <c r="I204" s="163"/>
      <c r="L204" s="91">
        <v>0</v>
      </c>
      <c r="N204" s="91">
        <v>1.7482081893831491E-3</v>
      </c>
    </row>
    <row r="205" spans="2:17" x14ac:dyDescent="0.2">
      <c r="C205" s="140"/>
      <c r="I205" s="163"/>
    </row>
    <row r="206" spans="2:17" x14ac:dyDescent="0.2">
      <c r="C206" s="158"/>
      <c r="E206" s="90"/>
      <c r="I206" s="163"/>
      <c r="L206" s="158"/>
      <c r="N206" s="90"/>
    </row>
    <row r="207" spans="2:17" x14ac:dyDescent="0.2">
      <c r="I207" s="163"/>
    </row>
    <row r="208" spans="2:17" x14ac:dyDescent="0.2">
      <c r="B208" s="20" t="s">
        <v>224</v>
      </c>
      <c r="I208" s="163"/>
      <c r="K208" s="20" t="s">
        <v>224</v>
      </c>
    </row>
    <row r="209" spans="2:17" x14ac:dyDescent="0.2">
      <c r="B209" s="20" t="s">
        <v>219</v>
      </c>
      <c r="C209" s="91">
        <f>C20+C41+C62+C83+C104+C125+C146+C167</f>
        <v>24481680</v>
      </c>
      <c r="D209" s="91"/>
      <c r="E209" s="91">
        <f>E20+E41+E62+E83+E104+E125+E146+E167</f>
        <v>27600108</v>
      </c>
      <c r="G209" s="91"/>
      <c r="H209" s="91"/>
      <c r="I209" s="164"/>
      <c r="K209" s="20" t="s">
        <v>219</v>
      </c>
      <c r="L209" s="84">
        <f>L20+L41+L62+L83+L104+L125+L146+L167</f>
        <v>73591184</v>
      </c>
      <c r="M209" s="84"/>
      <c r="N209" s="84">
        <f>N20+N41+N62+N83+N104+N125+N146+N167</f>
        <v>78789432</v>
      </c>
      <c r="P209" s="84"/>
      <c r="Q209" s="91"/>
    </row>
    <row r="210" spans="2:17" x14ac:dyDescent="0.2">
      <c r="B210" s="20" t="s">
        <v>225</v>
      </c>
      <c r="C210" s="91">
        <f>C21+C42+C63+C84+C105+C126+C147+C168</f>
        <v>5123776</v>
      </c>
      <c r="D210" s="91"/>
      <c r="E210" s="91">
        <f>E21+E42+E63+E84+E105+E126+E147+E168</f>
        <v>6300214</v>
      </c>
      <c r="G210" s="91"/>
      <c r="H210" s="91"/>
      <c r="I210" s="164"/>
      <c r="K210" s="20" t="s">
        <v>225</v>
      </c>
      <c r="L210" s="84">
        <f>L21+L42+L63+L84+L105+L126+L147+L168</f>
        <v>16393679</v>
      </c>
      <c r="M210" s="84"/>
      <c r="N210" s="84">
        <f>N21+N42+N63+N84+N105+N126+N147+N168</f>
        <v>19704145</v>
      </c>
      <c r="P210" s="84"/>
      <c r="Q210" s="91"/>
    </row>
    <row r="211" spans="2:17" x14ac:dyDescent="0.2">
      <c r="C211" s="91"/>
      <c r="D211" s="91"/>
      <c r="E211" s="91"/>
      <c r="G211" s="191"/>
      <c r="H211" s="91"/>
      <c r="I211" s="164"/>
      <c r="L211" s="91"/>
      <c r="M211" s="91"/>
      <c r="N211" s="91"/>
      <c r="P211" s="191"/>
      <c r="Q211" s="91"/>
    </row>
    <row r="212" spans="2:17" s="59" customFormat="1" x14ac:dyDescent="0.2">
      <c r="F212" s="20"/>
      <c r="G212" s="192"/>
      <c r="I212" s="167"/>
      <c r="P212" s="192"/>
    </row>
    <row r="213" spans="2:17" s="59" customFormat="1" x14ac:dyDescent="0.2">
      <c r="C213" s="192"/>
      <c r="D213" s="249"/>
      <c r="E213" s="192"/>
      <c r="G213" s="192"/>
      <c r="L213" s="159">
        <v>0</v>
      </c>
      <c r="N213" s="159">
        <v>0</v>
      </c>
      <c r="P213" s="192"/>
    </row>
    <row r="214" spans="2:17" s="59" customFormat="1" x14ac:dyDescent="0.2">
      <c r="B214" s="20"/>
      <c r="C214" s="88"/>
      <c r="D214" s="146"/>
      <c r="E214" s="88"/>
      <c r="G214" s="192"/>
      <c r="L214" s="159">
        <v>0</v>
      </c>
      <c r="N214" s="159">
        <v>0</v>
      </c>
      <c r="P214" s="192"/>
    </row>
    <row r="215" spans="2:17" s="59" customFormat="1" x14ac:dyDescent="0.2">
      <c r="C215" s="192"/>
      <c r="E215" s="192"/>
      <c r="G215" s="192"/>
      <c r="P215" s="192"/>
    </row>
    <row r="216" spans="2:17" s="59" customFormat="1" x14ac:dyDescent="0.2">
      <c r="G216" s="192"/>
      <c r="P216" s="192"/>
    </row>
    <row r="217" spans="2:17" s="59" customFormat="1" x14ac:dyDescent="0.2">
      <c r="G217" s="192"/>
      <c r="P217" s="192"/>
    </row>
    <row r="218" spans="2:17" s="59" customFormat="1" x14ac:dyDescent="0.2">
      <c r="G218" s="192"/>
      <c r="P218" s="192"/>
    </row>
    <row r="219" spans="2:17" s="59" customFormat="1" x14ac:dyDescent="0.2">
      <c r="G219" s="192"/>
      <c r="P219" s="192"/>
    </row>
    <row r="220" spans="2:17" s="59" customFormat="1" x14ac:dyDescent="0.2">
      <c r="G220" s="192"/>
      <c r="P220" s="192"/>
    </row>
    <row r="221" spans="2:17" s="59" customFormat="1" x14ac:dyDescent="0.2">
      <c r="C221" s="160"/>
      <c r="G221" s="192"/>
      <c r="L221" s="160"/>
      <c r="P221" s="192"/>
    </row>
    <row r="222" spans="2:17" s="59" customFormat="1" x14ac:dyDescent="0.2">
      <c r="C222" s="160"/>
      <c r="D222" s="192"/>
      <c r="E222" s="192"/>
      <c r="F222" s="192"/>
      <c r="G222" s="192"/>
      <c r="H222" s="192"/>
      <c r="I222" s="192"/>
      <c r="J222" s="192"/>
      <c r="K222" s="192"/>
      <c r="L222" s="160"/>
      <c r="O222" s="159"/>
      <c r="P222" s="192"/>
    </row>
    <row r="223" spans="2:17" x14ac:dyDescent="0.2">
      <c r="B223" s="161" t="s">
        <v>310</v>
      </c>
      <c r="C223" s="236"/>
      <c r="L223" s="91"/>
    </row>
    <row r="224" spans="2:17" x14ac:dyDescent="0.2">
      <c r="B224" s="237">
        <v>2021</v>
      </c>
      <c r="C224" s="238">
        <f>E209</f>
        <v>27600108</v>
      </c>
      <c r="D224" s="231">
        <f>C224/1000000</f>
        <v>27.600107999999999</v>
      </c>
      <c r="L224" s="91"/>
    </row>
    <row r="225" spans="2:4" x14ac:dyDescent="0.2">
      <c r="B225" s="143" t="s">
        <v>198</v>
      </c>
      <c r="C225" s="58">
        <f>G20</f>
        <v>-155780</v>
      </c>
      <c r="D225" s="231">
        <f t="shared" ref="D225:D233" si="72">C225/1000000</f>
        <v>-0.15578</v>
      </c>
    </row>
    <row r="226" spans="2:4" x14ac:dyDescent="0.2">
      <c r="B226" s="143" t="s">
        <v>220</v>
      </c>
      <c r="C226" s="58">
        <f>G41</f>
        <v>465580</v>
      </c>
      <c r="D226" s="231">
        <f t="shared" si="72"/>
        <v>0.46557999999999999</v>
      </c>
    </row>
    <row r="227" spans="2:4" x14ac:dyDescent="0.2">
      <c r="B227" s="143" t="s">
        <v>199</v>
      </c>
      <c r="C227" s="58">
        <f>G62</f>
        <v>-85662</v>
      </c>
      <c r="D227" s="231">
        <f t="shared" si="72"/>
        <v>-8.5662000000000002E-2</v>
      </c>
    </row>
    <row r="228" spans="2:4" x14ac:dyDescent="0.2">
      <c r="B228" s="143" t="s">
        <v>200</v>
      </c>
      <c r="C228" s="58">
        <f>G83</f>
        <v>-3815</v>
      </c>
      <c r="D228" s="231">
        <f t="shared" si="72"/>
        <v>-3.8149999999999998E-3</v>
      </c>
    </row>
    <row r="229" spans="2:4" x14ac:dyDescent="0.2">
      <c r="B229" s="143" t="s">
        <v>201</v>
      </c>
      <c r="C229" s="58">
        <f>G104</f>
        <v>0</v>
      </c>
      <c r="D229" s="231">
        <f t="shared" si="72"/>
        <v>0</v>
      </c>
    </row>
    <row r="230" spans="2:4" x14ac:dyDescent="0.2">
      <c r="B230" s="143" t="s">
        <v>221</v>
      </c>
      <c r="C230" s="58">
        <f>G125</f>
        <v>-34</v>
      </c>
      <c r="D230" s="231">
        <f t="shared" si="72"/>
        <v>-3.4E-5</v>
      </c>
    </row>
    <row r="231" spans="2:4" x14ac:dyDescent="0.2">
      <c r="B231" s="143" t="s">
        <v>222</v>
      </c>
      <c r="C231" s="58">
        <f>G146</f>
        <v>26034</v>
      </c>
      <c r="D231" s="231">
        <f t="shared" si="72"/>
        <v>2.6034000000000002E-2</v>
      </c>
    </row>
    <row r="232" spans="2:4" x14ac:dyDescent="0.2">
      <c r="B232" s="143" t="s">
        <v>202</v>
      </c>
      <c r="C232" s="58">
        <f>G167</f>
        <v>-3364751</v>
      </c>
      <c r="D232" s="231">
        <f t="shared" si="72"/>
        <v>-3.364751</v>
      </c>
    </row>
    <row r="233" spans="2:4" ht="13.5" thickBot="1" x14ac:dyDescent="0.25">
      <c r="B233" s="239">
        <v>2022</v>
      </c>
      <c r="C233" s="240">
        <f>SUM(C224:C232)</f>
        <v>24481680</v>
      </c>
      <c r="D233" s="231">
        <f t="shared" si="72"/>
        <v>24.481680000000001</v>
      </c>
    </row>
    <row r="234" spans="2:4" ht="13.5" thickTop="1" x14ac:dyDescent="0.2">
      <c r="B234" s="72"/>
      <c r="C234" s="157"/>
    </row>
    <row r="237" spans="2:4" x14ac:dyDescent="0.2">
      <c r="B237" s="161" t="s">
        <v>311</v>
      </c>
      <c r="C237" s="236"/>
    </row>
    <row r="238" spans="2:4" x14ac:dyDescent="0.2">
      <c r="B238" s="237">
        <v>2021</v>
      </c>
      <c r="C238" s="238">
        <f>E210</f>
        <v>6300214</v>
      </c>
      <c r="D238" s="231">
        <f>C238/1000000</f>
        <v>6.3002140000000004</v>
      </c>
    </row>
    <row r="239" spans="2:4" x14ac:dyDescent="0.2">
      <c r="B239" s="143" t="s">
        <v>198</v>
      </c>
      <c r="C239" s="58">
        <f>G21</f>
        <v>-75715</v>
      </c>
      <c r="D239" s="231">
        <f t="shared" ref="D239:D247" si="73">C239/1000000</f>
        <v>-7.5715000000000005E-2</v>
      </c>
    </row>
    <row r="240" spans="2:4" x14ac:dyDescent="0.2">
      <c r="B240" s="143" t="s">
        <v>220</v>
      </c>
      <c r="C240" s="58">
        <f>G42</f>
        <v>-752396</v>
      </c>
      <c r="D240" s="231">
        <f t="shared" si="73"/>
        <v>-0.75239599999999995</v>
      </c>
    </row>
    <row r="241" spans="2:4" x14ac:dyDescent="0.2">
      <c r="B241" s="143" t="s">
        <v>199</v>
      </c>
      <c r="C241" s="58">
        <f>G63</f>
        <v>-3022</v>
      </c>
      <c r="D241" s="231">
        <f t="shared" si="73"/>
        <v>-3.0219999999999999E-3</v>
      </c>
    </row>
    <row r="242" spans="2:4" x14ac:dyDescent="0.2">
      <c r="B242" s="143" t="s">
        <v>200</v>
      </c>
      <c r="C242" s="58">
        <f>G84</f>
        <v>132350</v>
      </c>
      <c r="D242" s="231">
        <f t="shared" si="73"/>
        <v>0.13235</v>
      </c>
    </row>
    <row r="243" spans="2:4" x14ac:dyDescent="0.2">
      <c r="B243" s="143" t="s">
        <v>201</v>
      </c>
      <c r="C243" s="58">
        <f>G105</f>
        <v>-104125</v>
      </c>
      <c r="D243" s="231">
        <f t="shared" si="73"/>
        <v>-0.104125</v>
      </c>
    </row>
    <row r="244" spans="2:4" x14ac:dyDescent="0.2">
      <c r="B244" s="143" t="s">
        <v>221</v>
      </c>
      <c r="C244" s="58">
        <f>G126</f>
        <v>-395287</v>
      </c>
      <c r="D244" s="231">
        <f t="shared" si="73"/>
        <v>-0.395287</v>
      </c>
    </row>
    <row r="245" spans="2:4" x14ac:dyDescent="0.2">
      <c r="B245" s="143" t="s">
        <v>222</v>
      </c>
      <c r="C245" s="58">
        <f>G147</f>
        <v>19607</v>
      </c>
      <c r="D245" s="231">
        <f t="shared" si="73"/>
        <v>1.9606999999999999E-2</v>
      </c>
    </row>
    <row r="246" spans="2:4" x14ac:dyDescent="0.2">
      <c r="B246" s="143" t="s">
        <v>202</v>
      </c>
      <c r="C246" s="58">
        <f>G168</f>
        <v>2150</v>
      </c>
      <c r="D246" s="231">
        <f t="shared" si="73"/>
        <v>2.15E-3</v>
      </c>
    </row>
    <row r="247" spans="2:4" ht="13.5" thickBot="1" x14ac:dyDescent="0.25">
      <c r="B247" s="239">
        <v>2022</v>
      </c>
      <c r="C247" s="240">
        <f>SUM(C238:C246)</f>
        <v>5123776</v>
      </c>
      <c r="D247" s="231">
        <f t="shared" si="73"/>
        <v>5.1237760000000003</v>
      </c>
    </row>
    <row r="248" spans="2:4" ht="13.5" thickTop="1" x14ac:dyDescent="0.2">
      <c r="C248" s="157">
        <f>C247-C210</f>
        <v>0</v>
      </c>
    </row>
  </sheetData>
  <pageMargins left="0.7" right="0.7" top="0.75" bottom="0.75" header="0.3" footer="0.3"/>
  <pageSetup paperSize="9" orientation="portrait" r:id="rId1"/>
  <ignoredErrors>
    <ignoredError sqref="M14 M36 M57 M78 M95:M99 M94 M118:M120 M141 M159:M164 M178:M183 D14 D36 D57 D78 D118:D120 M195:M201 D195:D201 D141 D159:D162" formula="1"/>
    <ignoredError sqref="F21 F42:H42 H21 J42:K42 J21:K21" formulaRange="1"/>
    <ignoredError sqref="Q94:Q96 L104:Q104 Q118 D100:D101 C104:H104 H118 F94:H94 F96:H99 F95:H95 H158:H159 Q158:Q159 F100:H101"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EE428-DBC2-4C0E-B1A9-37A83728E83A}">
  <dimension ref="A1:O34"/>
  <sheetViews>
    <sheetView showGridLines="0" workbookViewId="0">
      <selection activeCell="G29" sqref="G29"/>
    </sheetView>
  </sheetViews>
  <sheetFormatPr defaultRowHeight="12.75" x14ac:dyDescent="0.2"/>
  <cols>
    <col min="1" max="6" width="9.140625" style="20"/>
    <col min="7" max="7" width="10" style="20" bestFit="1" customWidth="1"/>
    <col min="8" max="13" width="9.140625" style="20"/>
    <col min="14" max="14" width="10" style="20" bestFit="1" customWidth="1"/>
    <col min="15" max="16384" width="9.140625" style="20"/>
  </cols>
  <sheetData>
    <row r="1" spans="1:14" ht="91.5" customHeight="1" x14ac:dyDescent="0.2">
      <c r="A1" s="180">
        <f>'2022 IR Data Book'!$A$5</f>
        <v>1</v>
      </c>
    </row>
    <row r="2" spans="1:14" ht="15" x14ac:dyDescent="0.2">
      <c r="B2" s="168"/>
    </row>
    <row r="3" spans="1:14" ht="15" x14ac:dyDescent="0.2">
      <c r="B3" s="168"/>
      <c r="C3" s="72" t="s">
        <v>226</v>
      </c>
      <c r="D3" s="173"/>
      <c r="E3" s="173"/>
      <c r="F3" s="173"/>
      <c r="G3" s="173"/>
      <c r="H3" s="173"/>
      <c r="I3" s="173"/>
      <c r="J3" s="173"/>
      <c r="K3" s="173"/>
      <c r="L3" s="173"/>
      <c r="M3" s="173"/>
    </row>
    <row r="4" spans="1:14" x14ac:dyDescent="0.2">
      <c r="B4" s="255" t="s">
        <v>227</v>
      </c>
      <c r="C4" s="255"/>
      <c r="D4" s="255"/>
      <c r="E4" s="255"/>
      <c r="F4" s="255"/>
      <c r="G4" s="255"/>
      <c r="I4" s="255" t="s">
        <v>228</v>
      </c>
      <c r="J4" s="255"/>
      <c r="K4" s="255"/>
      <c r="L4" s="255"/>
      <c r="M4" s="255"/>
      <c r="N4" s="255"/>
    </row>
    <row r="6" spans="1:14" x14ac:dyDescent="0.2">
      <c r="B6" s="20" t="s">
        <v>229</v>
      </c>
      <c r="G6" s="28">
        <f>5068145*('2022 IR Data Book'!$A$5)</f>
        <v>5068145</v>
      </c>
      <c r="J6" s="20" t="str">
        <f>B6</f>
        <v xml:space="preserve">Total Revenues </v>
      </c>
      <c r="N6" s="28">
        <f>G6</f>
        <v>5068145</v>
      </c>
    </row>
    <row r="7" spans="1:14" x14ac:dyDescent="0.2">
      <c r="B7" s="20" t="s">
        <v>230</v>
      </c>
      <c r="G7" s="28">
        <f>(-2488576)*('2022 IR Data Book'!$A$5)</f>
        <v>-2488576</v>
      </c>
      <c r="J7" s="169" t="s">
        <v>230</v>
      </c>
      <c r="K7" s="170"/>
      <c r="L7" s="170"/>
      <c r="M7" s="170"/>
      <c r="N7" s="28">
        <f>G7+G10</f>
        <v>-3412693</v>
      </c>
    </row>
    <row r="8" spans="1:14" x14ac:dyDescent="0.2">
      <c r="B8" s="20" t="s">
        <v>34</v>
      </c>
      <c r="G8" s="28">
        <f>G6+G7</f>
        <v>2579569</v>
      </c>
      <c r="J8" s="20" t="str">
        <f>B8</f>
        <v>Gross Profit</v>
      </c>
      <c r="N8" s="28">
        <f>N6+N7</f>
        <v>1655452</v>
      </c>
    </row>
    <row r="9" spans="1:14" s="72" customFormat="1" x14ac:dyDescent="0.2">
      <c r="B9" s="72" t="s">
        <v>231</v>
      </c>
      <c r="G9" s="194">
        <f>G8/G6</f>
        <v>0.50897695310611668</v>
      </c>
      <c r="J9" s="72" t="s">
        <v>231</v>
      </c>
      <c r="N9" s="194">
        <f>N8/N6</f>
        <v>0.32663864194887871</v>
      </c>
    </row>
    <row r="10" spans="1:14" x14ac:dyDescent="0.2">
      <c r="B10" s="169" t="s">
        <v>232</v>
      </c>
      <c r="C10" s="170"/>
      <c r="D10" s="170"/>
      <c r="E10" s="170"/>
      <c r="F10" s="171"/>
      <c r="G10" s="28">
        <f>(-924117)*('2022 IR Data Book'!$A$5)</f>
        <v>-924117</v>
      </c>
      <c r="N10" s="28"/>
    </row>
    <row r="11" spans="1:14" x14ac:dyDescent="0.2">
      <c r="B11" s="20" t="s">
        <v>233</v>
      </c>
      <c r="G11" s="28">
        <f>(-822351-193652)*('2022 IR Data Book'!$A$5)</f>
        <v>-1016003</v>
      </c>
      <c r="J11" s="20" t="str">
        <f>B11</f>
        <v>Less: SG&amp;A Expenses</v>
      </c>
      <c r="N11" s="28">
        <f>G11</f>
        <v>-1016003</v>
      </c>
    </row>
    <row r="12" spans="1:14" x14ac:dyDescent="0.2">
      <c r="B12" s="20" t="s">
        <v>234</v>
      </c>
      <c r="G12" s="28">
        <f>-24783*('2022 IR Data Book'!$A$5)</f>
        <v>-24783</v>
      </c>
      <c r="J12" s="20" t="str">
        <f>B12</f>
        <v xml:space="preserve">Net impairment loss on account receivables </v>
      </c>
      <c r="N12" s="28">
        <f>G12</f>
        <v>-24783</v>
      </c>
    </row>
    <row r="13" spans="1:14" x14ac:dyDescent="0.2">
      <c r="B13" s="20" t="s">
        <v>235</v>
      </c>
      <c r="G13" s="28"/>
      <c r="J13" s="20" t="str">
        <f>B13</f>
        <v xml:space="preserve">Net impairment loss on bank balances </v>
      </c>
      <c r="N13" s="28"/>
    </row>
    <row r="14" spans="1:14" x14ac:dyDescent="0.2">
      <c r="B14" s="20" t="s">
        <v>236</v>
      </c>
      <c r="G14" s="28">
        <f>(5012)*('2022 IR Data Book'!$A$5)</f>
        <v>5012</v>
      </c>
      <c r="J14" s="20" t="str">
        <f>B14</f>
        <v xml:space="preserve">Other income /Expense </v>
      </c>
      <c r="N14" s="28">
        <f>G14</f>
        <v>5012</v>
      </c>
    </row>
    <row r="15" spans="1:14" x14ac:dyDescent="0.2">
      <c r="B15" s="20" t="s">
        <v>237</v>
      </c>
      <c r="G15" s="28">
        <f>G8+G10+G11+G12+G14</f>
        <v>619678</v>
      </c>
      <c r="J15" s="20" t="str">
        <f>B15</f>
        <v xml:space="preserve">Operating Profit </v>
      </c>
      <c r="N15" s="28">
        <f>N8+N10+N11+N12+N14</f>
        <v>619678</v>
      </c>
    </row>
    <row r="16" spans="1:14" x14ac:dyDescent="0.2">
      <c r="G16" s="28"/>
    </row>
    <row r="18" spans="1:15" ht="13.5" thickBot="1" x14ac:dyDescent="0.25">
      <c r="A18" s="172"/>
      <c r="B18" s="172"/>
      <c r="C18" s="172"/>
      <c r="D18" s="172"/>
      <c r="E18" s="172"/>
      <c r="F18" s="172"/>
      <c r="G18" s="172"/>
      <c r="H18" s="172"/>
      <c r="I18" s="172"/>
      <c r="J18" s="172"/>
      <c r="K18" s="172"/>
      <c r="L18" s="172"/>
      <c r="M18" s="172"/>
      <c r="N18" s="172"/>
      <c r="O18" s="172"/>
    </row>
    <row r="21" spans="1:15" ht="15" x14ac:dyDescent="0.2">
      <c r="B21" s="168"/>
      <c r="C21" s="72" t="s">
        <v>238</v>
      </c>
      <c r="D21" s="72"/>
      <c r="E21" s="72"/>
      <c r="F21" s="72"/>
      <c r="G21" s="72"/>
      <c r="H21" s="72"/>
      <c r="I21" s="72"/>
      <c r="J21" s="72"/>
      <c r="K21" s="72"/>
      <c r="L21" s="72"/>
      <c r="M21" s="72"/>
    </row>
    <row r="22" spans="1:15" x14ac:dyDescent="0.2">
      <c r="B22" s="255" t="s">
        <v>227</v>
      </c>
      <c r="C22" s="255"/>
      <c r="D22" s="255"/>
      <c r="E22" s="255"/>
      <c r="F22" s="255"/>
      <c r="G22" s="255"/>
      <c r="I22" s="255" t="s">
        <v>228</v>
      </c>
      <c r="J22" s="255"/>
      <c r="K22" s="255"/>
      <c r="L22" s="255"/>
      <c r="M22" s="255"/>
      <c r="N22" s="255"/>
    </row>
    <row r="24" spans="1:15" x14ac:dyDescent="0.2">
      <c r="B24" s="20" t="s">
        <v>229</v>
      </c>
      <c r="G24" s="28">
        <f>5510299*('2022 IR Data Book'!$A$5)</f>
        <v>5510299</v>
      </c>
      <c r="J24" s="20" t="str">
        <f>B24</f>
        <v xml:space="preserve">Total Revenues </v>
      </c>
      <c r="N24" s="28">
        <f>G24</f>
        <v>5510299</v>
      </c>
    </row>
    <row r="25" spans="1:15" x14ac:dyDescent="0.2">
      <c r="B25" s="20" t="s">
        <v>230</v>
      </c>
      <c r="G25" s="28">
        <f>-2958821.53980779*('2022 IR Data Book'!$A$5)</f>
        <v>-2958821.53980779</v>
      </c>
      <c r="J25" s="169" t="s">
        <v>230</v>
      </c>
      <c r="K25" s="170"/>
      <c r="L25" s="170"/>
      <c r="M25" s="170"/>
      <c r="N25" s="28">
        <f>G25+G28</f>
        <v>-3976508</v>
      </c>
    </row>
    <row r="26" spans="1:15" x14ac:dyDescent="0.2">
      <c r="B26" s="20" t="s">
        <v>34</v>
      </c>
      <c r="G26" s="28">
        <f>G24+G25</f>
        <v>2551477.46019221</v>
      </c>
      <c r="J26" s="20" t="str">
        <f>B26</f>
        <v>Gross Profit</v>
      </c>
      <c r="N26" s="28">
        <f>N24+N25</f>
        <v>1533791</v>
      </c>
    </row>
    <row r="27" spans="1:15" s="72" customFormat="1" x14ac:dyDescent="0.2">
      <c r="B27" s="72" t="s">
        <v>231</v>
      </c>
      <c r="G27" s="194">
        <f>G26/G24</f>
        <v>0.46303793318515202</v>
      </c>
      <c r="J27" s="72" t="s">
        <v>231</v>
      </c>
      <c r="N27" s="194">
        <f>N26/N24</f>
        <v>0.27834986812875306</v>
      </c>
    </row>
    <row r="28" spans="1:15" x14ac:dyDescent="0.2">
      <c r="B28" s="169" t="s">
        <v>232</v>
      </c>
      <c r="C28" s="170"/>
      <c r="D28" s="170"/>
      <c r="E28" s="170"/>
      <c r="F28" s="171"/>
      <c r="G28" s="28">
        <f>-1017686.46019221*('2022 IR Data Book'!$A$5)</f>
        <v>-1017686.46019221</v>
      </c>
      <c r="N28" s="28"/>
    </row>
    <row r="29" spans="1:15" x14ac:dyDescent="0.2">
      <c r="B29" s="20" t="s">
        <v>233</v>
      </c>
      <c r="G29" s="28">
        <f>(-220668-791926)*('2022 IR Data Book'!$A$5)</f>
        <v>-1012594</v>
      </c>
      <c r="J29" s="20" t="str">
        <f>B29</f>
        <v>Less: SG&amp;A Expenses</v>
      </c>
      <c r="N29" s="28">
        <f>G29</f>
        <v>-1012594</v>
      </c>
    </row>
    <row r="30" spans="1:15" x14ac:dyDescent="0.2">
      <c r="B30" s="20" t="s">
        <v>234</v>
      </c>
      <c r="G30" s="28">
        <f>-25319*('2022 IR Data Book'!$A$5)</f>
        <v>-25319</v>
      </c>
      <c r="J30" s="20" t="str">
        <f>B30</f>
        <v xml:space="preserve">Net impairment loss on account receivables </v>
      </c>
      <c r="N30" s="28">
        <f>G30</f>
        <v>-25319</v>
      </c>
    </row>
    <row r="31" spans="1:15" x14ac:dyDescent="0.2">
      <c r="B31" s="20" t="s">
        <v>235</v>
      </c>
      <c r="G31" s="28">
        <f>-21301*('2022 IR Data Book'!$A$5)</f>
        <v>-21301</v>
      </c>
      <c r="J31" s="20" t="str">
        <f>B31</f>
        <v xml:space="preserve">Net impairment loss on bank balances </v>
      </c>
      <c r="N31" s="28">
        <f>G31</f>
        <v>-21301</v>
      </c>
    </row>
    <row r="32" spans="1:15" x14ac:dyDescent="0.2">
      <c r="B32" s="20" t="s">
        <v>236</v>
      </c>
      <c r="G32" s="28">
        <f>(-89611+14582)*('2022 IR Data Book'!$A$5)</f>
        <v>-75029</v>
      </c>
      <c r="J32" s="20" t="str">
        <f>B32</f>
        <v xml:space="preserve">Other income /Expense </v>
      </c>
      <c r="N32" s="28">
        <f>G32</f>
        <v>-75029</v>
      </c>
    </row>
    <row r="33" spans="2:14" x14ac:dyDescent="0.2">
      <c r="B33" s="20" t="s">
        <v>237</v>
      </c>
      <c r="G33" s="28">
        <f>G26+G28+G29+G30+G32+G31</f>
        <v>399548</v>
      </c>
      <c r="J33" s="20" t="str">
        <f>B33</f>
        <v xml:space="preserve">Operating Profit </v>
      </c>
      <c r="N33" s="28">
        <f>N26+N28+N29+N30+N32+N31</f>
        <v>399548</v>
      </c>
    </row>
    <row r="34" spans="2:14" x14ac:dyDescent="0.2">
      <c r="G34" s="28"/>
    </row>
  </sheetData>
  <mergeCells count="4">
    <mergeCell ref="B22:G22"/>
    <mergeCell ref="I22:N22"/>
    <mergeCell ref="B4:G4"/>
    <mergeCell ref="I4:N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06245-B883-4CA8-9EF0-15ADEE571A91}">
  <dimension ref="A1:P90"/>
  <sheetViews>
    <sheetView showGridLines="0" workbookViewId="0">
      <selection activeCell="J14" sqref="J14"/>
    </sheetView>
  </sheetViews>
  <sheetFormatPr defaultRowHeight="12.75" x14ac:dyDescent="0.2"/>
  <cols>
    <col min="1" max="1" width="3.42578125" style="20" customWidth="1"/>
    <col min="2" max="2" width="13.7109375" style="20" customWidth="1"/>
    <col min="3" max="9" width="15.140625" style="20" customWidth="1"/>
    <col min="10" max="10" width="9.140625" style="20"/>
    <col min="11" max="11" width="13.85546875" style="20" customWidth="1"/>
    <col min="12" max="16" width="13.5703125" style="20" customWidth="1"/>
    <col min="17" max="16384" width="9.140625" style="20"/>
  </cols>
  <sheetData>
    <row r="1" spans="1:16" x14ac:dyDescent="0.2">
      <c r="A1" s="180">
        <f>'2022 IR Data Book'!$A$5</f>
        <v>1</v>
      </c>
    </row>
    <row r="2" spans="1:16" ht="15" x14ac:dyDescent="0.25">
      <c r="C2" s="125" t="s">
        <v>239</v>
      </c>
      <c r="D2" s="125"/>
      <c r="E2" s="125"/>
    </row>
    <row r="3" spans="1:16" ht="15" x14ac:dyDescent="0.25">
      <c r="C3" s="125"/>
      <c r="D3" s="125"/>
      <c r="E3" s="125"/>
    </row>
    <row r="4" spans="1:16" x14ac:dyDescent="0.2">
      <c r="B4" s="126"/>
    </row>
    <row r="5" spans="1:16" x14ac:dyDescent="0.2">
      <c r="B5" s="127"/>
      <c r="C5" s="256" t="s">
        <v>23</v>
      </c>
      <c r="D5" s="256"/>
      <c r="E5" s="256"/>
      <c r="F5" s="256"/>
      <c r="G5" s="256"/>
      <c r="H5" s="256"/>
      <c r="I5" s="256"/>
      <c r="K5" s="127"/>
      <c r="L5" s="256" t="s">
        <v>240</v>
      </c>
      <c r="M5" s="256"/>
      <c r="N5" s="256"/>
      <c r="O5" s="256"/>
      <c r="P5" s="256"/>
    </row>
    <row r="6" spans="1:16" x14ac:dyDescent="0.2">
      <c r="B6" s="127"/>
      <c r="C6" s="139" t="s">
        <v>241</v>
      </c>
      <c r="D6" s="139" t="s">
        <v>301</v>
      </c>
      <c r="E6" s="139" t="s">
        <v>213</v>
      </c>
      <c r="F6" s="139" t="s">
        <v>242</v>
      </c>
      <c r="G6" s="139" t="s">
        <v>243</v>
      </c>
      <c r="H6" s="139" t="s">
        <v>244</v>
      </c>
      <c r="I6" s="139" t="s">
        <v>223</v>
      </c>
      <c r="K6" s="127"/>
      <c r="L6" s="139" t="s">
        <v>241</v>
      </c>
      <c r="M6" s="139" t="s">
        <v>242</v>
      </c>
      <c r="N6" s="139" t="s">
        <v>243</v>
      </c>
      <c r="O6" s="139" t="s">
        <v>244</v>
      </c>
      <c r="P6" s="139" t="s">
        <v>223</v>
      </c>
    </row>
    <row r="7" spans="1:16" x14ac:dyDescent="0.2">
      <c r="B7" s="60" t="s">
        <v>245</v>
      </c>
      <c r="C7" s="128">
        <f>'Aramex Courier'!C7</f>
        <v>1002142.34808517</v>
      </c>
      <c r="D7" s="128">
        <f>'Aramex Express+SNS'!C7</f>
        <v>646524.48385896604</v>
      </c>
      <c r="E7" s="128">
        <f>'Aramex Domestic'!C7</f>
        <v>355617.86422928999</v>
      </c>
      <c r="F7" s="128">
        <f>'Aramex Freight'!C7</f>
        <v>288280.57594077598</v>
      </c>
      <c r="G7" s="128">
        <f>'Aramex Logistics'!C7</f>
        <v>104585.74155784999</v>
      </c>
      <c r="H7" s="128">
        <f>29924.5277420579*('2022 IR Data Book'!$A$5)</f>
        <v>29924.5277420579</v>
      </c>
      <c r="I7" s="128">
        <f>SUM(D7:H7)</f>
        <v>1424933.1933289398</v>
      </c>
      <c r="J7" s="91"/>
      <c r="K7" s="60" t="s">
        <v>245</v>
      </c>
      <c r="L7" s="128">
        <f>768414.063708547*('2022 IR Data Book'!$A$5)</f>
        <v>768414.06370854704</v>
      </c>
      <c r="M7" s="128">
        <f>262436.900433545*('2022 IR Data Book'!$A$5)</f>
        <v>262436.900433545</v>
      </c>
      <c r="N7" s="128">
        <f>95044.3885739144*('2022 IR Data Book'!$A$5)</f>
        <v>95044.388573914403</v>
      </c>
      <c r="O7" s="128">
        <f>25748.7833390512*('2022 IR Data Book'!$A$5)</f>
        <v>25748.783339051199</v>
      </c>
      <c r="P7" s="128">
        <f>SUM(L7:O7)</f>
        <v>1151644.1360550576</v>
      </c>
    </row>
    <row r="8" spans="1:16" x14ac:dyDescent="0.2">
      <c r="B8" s="61" t="s">
        <v>182</v>
      </c>
      <c r="C8" s="129">
        <f>'Aramex Courier'!C9</f>
        <v>285114.34617793805</v>
      </c>
      <c r="D8" s="129">
        <f>'Aramex Express+SNS'!C9</f>
        <v>202400.03624639905</v>
      </c>
      <c r="E8" s="129">
        <f>'Aramex Domestic'!C9</f>
        <v>82714.30988910998</v>
      </c>
      <c r="F8" s="129">
        <f>'Aramex Freight'!C9</f>
        <v>36832.960462398973</v>
      </c>
      <c r="G8" s="129">
        <f>'Aramex Logistics'!C9</f>
        <v>18031.788640835293</v>
      </c>
      <c r="H8" s="129">
        <f>18667.8494106557*('2022 IR Data Book'!$A$5)</f>
        <v>18667.849410655701</v>
      </c>
      <c r="I8" s="129">
        <f>SUM(D8:H8)</f>
        <v>358646.94464939903</v>
      </c>
      <c r="J8" s="91"/>
      <c r="K8" s="61" t="s">
        <v>182</v>
      </c>
      <c r="L8" s="129">
        <f>264108*('2022 IR Data Book'!$A$5)</f>
        <v>264108</v>
      </c>
      <c r="M8" s="129">
        <f>51693*('2022 IR Data Book'!$A$5)</f>
        <v>51693</v>
      </c>
      <c r="N8" s="129">
        <f>17857*('2022 IR Data Book'!$A$5)</f>
        <v>17857</v>
      </c>
      <c r="O8" s="129">
        <f>16690*('2022 IR Data Book'!$A$5)</f>
        <v>16690</v>
      </c>
      <c r="P8" s="129">
        <f>SUM(L8:O8)</f>
        <v>350348</v>
      </c>
    </row>
    <row r="9" spans="1:16" x14ac:dyDescent="0.2">
      <c r="B9" s="62" t="s">
        <v>183</v>
      </c>
      <c r="C9" s="175">
        <f>C8/C7</f>
        <v>0.28450483778349095</v>
      </c>
      <c r="D9" s="175">
        <f>D8/D7</f>
        <v>0.31305857906311085</v>
      </c>
      <c r="E9" s="175">
        <f>E8/E7</f>
        <v>0.23259323619293398</v>
      </c>
      <c r="F9" s="175">
        <f t="shared" ref="F9:I9" si="0">F8/F7</f>
        <v>0.12776774967303345</v>
      </c>
      <c r="G9" s="175">
        <f t="shared" si="0"/>
        <v>0.17241153882206101</v>
      </c>
      <c r="H9" s="175">
        <f t="shared" si="0"/>
        <v>0.62383104493972275</v>
      </c>
      <c r="I9" s="176">
        <f t="shared" si="0"/>
        <v>0.25169386630086515</v>
      </c>
      <c r="J9" s="91"/>
      <c r="K9" s="62" t="s">
        <v>183</v>
      </c>
      <c r="L9" s="175">
        <f>L8/L7</f>
        <v>0.34370531784042663</v>
      </c>
      <c r="M9" s="175">
        <f t="shared" ref="M9:P9" si="1">M8/M7</f>
        <v>0.19697306253275859</v>
      </c>
      <c r="N9" s="175">
        <f t="shared" si="1"/>
        <v>0.18788063417455639</v>
      </c>
      <c r="O9" s="175">
        <f t="shared" si="1"/>
        <v>0.64818596592436117</v>
      </c>
      <c r="P9" s="176">
        <f t="shared" si="1"/>
        <v>0.30421550288973176</v>
      </c>
    </row>
    <row r="10" spans="1:16" x14ac:dyDescent="0.2">
      <c r="B10" s="61" t="s">
        <v>246</v>
      </c>
      <c r="C10" s="129">
        <f>'Aramex Courier'!C12</f>
        <v>67793.530503960093</v>
      </c>
      <c r="D10" s="129"/>
      <c r="E10" s="129"/>
      <c r="F10" s="129">
        <f>'Aramex Freight'!C12</f>
        <v>3822.9204956641602</v>
      </c>
      <c r="G10" s="129">
        <f>'Aramex Logistics'!C12</f>
        <v>5702.3992194531002</v>
      </c>
      <c r="H10" s="129">
        <f>2138.62386501166*('2022 IR Data Book'!$A$5)</f>
        <v>2138.6238650116602</v>
      </c>
      <c r="I10" s="129">
        <f>SUM(D10:H10)</f>
        <v>11663.943580128922</v>
      </c>
      <c r="J10" s="91"/>
      <c r="K10" s="61" t="s">
        <v>246</v>
      </c>
      <c r="L10" s="129">
        <f>67870*('2022 IR Data Book'!$A$5)</f>
        <v>67870</v>
      </c>
      <c r="M10" s="129">
        <f>23017*('2022 IR Data Book'!$A$5)</f>
        <v>23017</v>
      </c>
      <c r="N10" s="129">
        <f>6653*('2022 IR Data Book'!$A$5)</f>
        <v>6653</v>
      </c>
      <c r="O10" s="129">
        <f>1967*('2022 IR Data Book'!$A$5)</f>
        <v>1967</v>
      </c>
      <c r="P10" s="129">
        <f>SUM(L10:O10)</f>
        <v>99507</v>
      </c>
    </row>
    <row r="11" spans="1:16" x14ac:dyDescent="0.2">
      <c r="B11" s="62" t="s">
        <v>186</v>
      </c>
      <c r="C11" s="175">
        <f>C10/C7</f>
        <v>6.7648603647471509E-2</v>
      </c>
      <c r="D11" s="175"/>
      <c r="E11" s="175"/>
      <c r="F11" s="175">
        <f t="shared" ref="F11:I11" si="2">F10/F7</f>
        <v>1.326111023328029E-2</v>
      </c>
      <c r="G11" s="175">
        <f t="shared" si="2"/>
        <v>5.4523677267220079E-2</v>
      </c>
      <c r="H11" s="175">
        <f t="shared" si="2"/>
        <v>7.1467255338031527E-2</v>
      </c>
      <c r="I11" s="176">
        <f t="shared" si="2"/>
        <v>8.1856073216173223E-3</v>
      </c>
      <c r="J11" s="91"/>
      <c r="K11" s="62" t="s">
        <v>186</v>
      </c>
      <c r="L11" s="175">
        <f>L10/L7</f>
        <v>8.8324775931928431E-2</v>
      </c>
      <c r="M11" s="175">
        <f t="shared" ref="M11:P11" si="3">M10/M7</f>
        <v>8.7704891964414999E-2</v>
      </c>
      <c r="N11" s="175">
        <f t="shared" si="3"/>
        <v>6.9998872104122964E-2</v>
      </c>
      <c r="O11" s="175">
        <f t="shared" si="3"/>
        <v>7.6391958955854919E-2</v>
      </c>
      <c r="P11" s="176">
        <f t="shared" si="3"/>
        <v>8.6404295289393793E-2</v>
      </c>
    </row>
    <row r="12" spans="1:16" x14ac:dyDescent="0.2">
      <c r="B12" s="62" t="s">
        <v>187</v>
      </c>
      <c r="C12" s="174">
        <f>'Aramex Courier'!C14</f>
        <v>126971.790482873</v>
      </c>
      <c r="D12" s="174"/>
      <c r="E12" s="174"/>
      <c r="F12" s="174">
        <f>'Aramex Freight'!C14</f>
        <v>11649.503469716999</v>
      </c>
      <c r="G12" s="174">
        <f>'Aramex Logistics'!C14</f>
        <v>25987.4230939523</v>
      </c>
      <c r="H12" s="174">
        <f>5237.50723887273*('2022 IR Data Book'!$A$5)</f>
        <v>5237.5072388727303</v>
      </c>
      <c r="I12" s="129">
        <f>SUM(D12:H12)</f>
        <v>42874.433802542029</v>
      </c>
      <c r="J12" s="91"/>
      <c r="K12" s="62" t="s">
        <v>187</v>
      </c>
      <c r="L12" s="174">
        <f>122353.985142297*('2022 IR Data Book'!$A$5)</f>
        <v>122353.985142297</v>
      </c>
      <c r="M12" s="174">
        <f>30232.6171423544*('2022 IR Data Book'!$A$5)</f>
        <v>30232.6171423544</v>
      </c>
      <c r="N12" s="174">
        <f>25377.6620862351*('2022 IR Data Book'!$A$5)</f>
        <v>25377.662086235101</v>
      </c>
      <c r="O12" s="174">
        <f>4921.08205567359*('2022 IR Data Book'!$A$5)</f>
        <v>4921.0820556735898</v>
      </c>
      <c r="P12" s="129">
        <f>SUM(L12:O12)</f>
        <v>182885.34642656008</v>
      </c>
    </row>
    <row r="13" spans="1:16" x14ac:dyDescent="0.2">
      <c r="B13" s="130" t="s">
        <v>188</v>
      </c>
      <c r="C13" s="177">
        <f>C12/C7</f>
        <v>0.12670035422161596</v>
      </c>
      <c r="D13" s="177"/>
      <c r="E13" s="177"/>
      <c r="F13" s="177">
        <f t="shared" ref="F13:I13" si="4">F12/F7</f>
        <v>4.0410296225127075E-2</v>
      </c>
      <c r="G13" s="177">
        <f t="shared" si="4"/>
        <v>0.24847959871831818</v>
      </c>
      <c r="H13" s="177">
        <f t="shared" si="4"/>
        <v>0.17502388956707221</v>
      </c>
      <c r="I13" s="177">
        <f t="shared" si="4"/>
        <v>3.0088732582878815E-2</v>
      </c>
      <c r="J13" s="91"/>
      <c r="K13" s="130" t="s">
        <v>188</v>
      </c>
      <c r="L13" s="177">
        <f t="shared" ref="L13" si="5">L12/L7</f>
        <v>0.15922923710139802</v>
      </c>
      <c r="M13" s="177">
        <f t="shared" ref="M13" si="6">M12/M7</f>
        <v>0.11519956641924289</v>
      </c>
      <c r="N13" s="177">
        <f t="shared" ref="N13" si="7">N12/N7</f>
        <v>0.26700852587945606</v>
      </c>
      <c r="O13" s="177">
        <f t="shared" ref="O13:P13" si="8">O12/O7</f>
        <v>0.19111901292090036</v>
      </c>
      <c r="P13" s="177">
        <f t="shared" si="8"/>
        <v>0.1588036969936143</v>
      </c>
    </row>
    <row r="14" spans="1:16" x14ac:dyDescent="0.2">
      <c r="C14" s="131"/>
      <c r="D14" s="131"/>
      <c r="E14" s="131"/>
      <c r="F14" s="131"/>
      <c r="G14" s="131"/>
      <c r="H14" s="131"/>
      <c r="I14" s="131"/>
      <c r="L14" s="131"/>
      <c r="M14" s="131"/>
      <c r="N14" s="131"/>
      <c r="O14" s="131"/>
      <c r="P14" s="131"/>
    </row>
    <row r="15" spans="1:16" x14ac:dyDescent="0.2">
      <c r="C15" s="131"/>
      <c r="D15" s="131"/>
      <c r="E15" s="131"/>
      <c r="F15" s="131"/>
      <c r="G15" s="131"/>
      <c r="H15" s="131"/>
      <c r="I15" s="131"/>
      <c r="L15" s="131"/>
      <c r="M15" s="131"/>
      <c r="N15" s="131"/>
      <c r="O15" s="131"/>
      <c r="P15" s="131"/>
    </row>
    <row r="16" spans="1:16" x14ac:dyDescent="0.2">
      <c r="C16" s="131"/>
      <c r="D16" s="131"/>
      <c r="E16" s="131"/>
      <c r="F16" s="131"/>
      <c r="G16" s="131"/>
      <c r="H16" s="131"/>
      <c r="I16" s="131"/>
      <c r="L16" s="131"/>
      <c r="M16" s="131"/>
      <c r="N16" s="131"/>
      <c r="O16" s="131"/>
      <c r="P16" s="131"/>
    </row>
    <row r="17" spans="2:16" x14ac:dyDescent="0.2">
      <c r="C17" s="131"/>
      <c r="D17" s="131"/>
      <c r="E17" s="131"/>
      <c r="F17" s="131"/>
      <c r="G17" s="131"/>
      <c r="H17" s="131"/>
      <c r="I17" s="131"/>
      <c r="L17" s="131"/>
      <c r="M17" s="131"/>
      <c r="N17" s="131"/>
      <c r="O17" s="131"/>
      <c r="P17" s="131"/>
    </row>
    <row r="18" spans="2:16" x14ac:dyDescent="0.2">
      <c r="B18" s="127"/>
      <c r="C18" s="256" t="s">
        <v>24</v>
      </c>
      <c r="D18" s="256"/>
      <c r="E18" s="256"/>
      <c r="F18" s="256"/>
      <c r="G18" s="256"/>
      <c r="H18" s="256"/>
      <c r="I18" s="256"/>
      <c r="K18" s="127"/>
      <c r="L18" s="256" t="s">
        <v>247</v>
      </c>
      <c r="M18" s="256"/>
      <c r="N18" s="256"/>
      <c r="O18" s="256"/>
      <c r="P18" s="256"/>
    </row>
    <row r="19" spans="2:16" x14ac:dyDescent="0.2">
      <c r="B19" s="127"/>
      <c r="C19" s="139" t="s">
        <v>241</v>
      </c>
      <c r="D19" s="139" t="s">
        <v>301</v>
      </c>
      <c r="E19" s="139" t="s">
        <v>213</v>
      </c>
      <c r="F19" s="139" t="s">
        <v>242</v>
      </c>
      <c r="G19" s="139" t="s">
        <v>243</v>
      </c>
      <c r="H19" s="139" t="s">
        <v>244</v>
      </c>
      <c r="I19" s="139" t="s">
        <v>223</v>
      </c>
      <c r="K19" s="127"/>
      <c r="L19" s="139" t="s">
        <v>241</v>
      </c>
      <c r="M19" s="139" t="s">
        <v>242</v>
      </c>
      <c r="N19" s="139" t="s">
        <v>243</v>
      </c>
      <c r="O19" s="139" t="s">
        <v>244</v>
      </c>
      <c r="P19" s="139" t="s">
        <v>223</v>
      </c>
    </row>
    <row r="20" spans="2:16" x14ac:dyDescent="0.2">
      <c r="B20" s="60" t="s">
        <v>245</v>
      </c>
      <c r="C20" s="128">
        <f>'Aramex Courier'!D7</f>
        <v>1100781.6775668799</v>
      </c>
      <c r="D20" s="128">
        <f>'Aramex Express+SNS'!D7</f>
        <v>733555.71449497202</v>
      </c>
      <c r="E20" s="128">
        <f>'Aramex Domestic'!D7</f>
        <v>367225.96307190601</v>
      </c>
      <c r="F20" s="128">
        <f>'Aramex Freight'!D7</f>
        <v>328594.88728761498</v>
      </c>
      <c r="G20" s="128">
        <f>'Aramex Logistics'!D7</f>
        <v>108808.981524708</v>
      </c>
      <c r="H20" s="128">
        <f>32737.7270639149*('2022 IR Data Book'!$A$5)</f>
        <v>32737.727063914899</v>
      </c>
      <c r="I20" s="128">
        <f>SUM(D20:H20)</f>
        <v>1570923.2734431159</v>
      </c>
      <c r="J20" s="28"/>
      <c r="K20" s="60" t="s">
        <v>245</v>
      </c>
      <c r="L20" s="128">
        <f>918423.610580826*('2022 IR Data Book'!$A$5)</f>
        <v>918423.61058082595</v>
      </c>
      <c r="M20" s="128">
        <f>267575.35078716*('2022 IR Data Book'!$A$5)</f>
        <v>267575.35078715999</v>
      </c>
      <c r="N20" s="128">
        <f>85013.8082673105*('2022 IR Data Book'!$A$5)</f>
        <v>85013.808267310495</v>
      </c>
      <c r="O20" s="128">
        <f>22763.1096013526*('2022 IR Data Book'!$A$5)</f>
        <v>22763.1096013526</v>
      </c>
      <c r="P20" s="128">
        <f>SUM(L20:O20)</f>
        <v>1293775.879236649</v>
      </c>
    </row>
    <row r="21" spans="2:16" x14ac:dyDescent="0.2">
      <c r="B21" s="61" t="s">
        <v>182</v>
      </c>
      <c r="C21" s="129">
        <f>'Aramex Courier'!D9</f>
        <v>325301.35163942387</v>
      </c>
      <c r="D21" s="129">
        <f>'Aramex Express+SNS'!D9</f>
        <v>235154.50042451301</v>
      </c>
      <c r="E21" s="129">
        <f>'Aramex Domestic'!D9</f>
        <v>90146.851305414981</v>
      </c>
      <c r="F21" s="129">
        <f>'Aramex Freight'!D9</f>
        <v>33953.349184027989</v>
      </c>
      <c r="G21" s="129">
        <f>'Aramex Logistics'!D9</f>
        <v>6914.8195623350039</v>
      </c>
      <c r="H21" s="129">
        <f>22494.6156898403*('2022 IR Data Book'!$A$5)</f>
        <v>22494.615689840299</v>
      </c>
      <c r="I21" s="129">
        <f>SUM(D21:H21)</f>
        <v>388664.13616613124</v>
      </c>
      <c r="J21" s="28"/>
      <c r="K21" s="61" t="s">
        <v>182</v>
      </c>
      <c r="L21" s="129">
        <f>311978*('2022 IR Data Book'!$A$5)</f>
        <v>311978</v>
      </c>
      <c r="M21" s="129">
        <f>30987*('2022 IR Data Book'!$A$5)</f>
        <v>30987</v>
      </c>
      <c r="N21" s="129">
        <f>11371*('2022 IR Data Book'!$A$5)</f>
        <v>11371</v>
      </c>
      <c r="O21" s="129">
        <f>14079*('2022 IR Data Book'!$A$5)</f>
        <v>14079</v>
      </c>
      <c r="P21" s="129">
        <f>SUM(L21:O21)</f>
        <v>368415</v>
      </c>
    </row>
    <row r="22" spans="2:16" x14ac:dyDescent="0.2">
      <c r="B22" s="62" t="s">
        <v>183</v>
      </c>
      <c r="C22" s="175">
        <f>C21/C20</f>
        <v>0.29551850132394636</v>
      </c>
      <c r="D22" s="175">
        <f t="shared" ref="D22:E22" si="9">D21/D20</f>
        <v>0.32056801654992056</v>
      </c>
      <c r="E22" s="175">
        <f t="shared" si="9"/>
        <v>0.24548060423430207</v>
      </c>
      <c r="F22" s="175">
        <f t="shared" ref="F22:I22" si="10">F21/F20</f>
        <v>0.10332890284537218</v>
      </c>
      <c r="G22" s="175">
        <f t="shared" si="10"/>
        <v>6.3550080751052784E-2</v>
      </c>
      <c r="H22" s="175">
        <f t="shared" si="10"/>
        <v>0.68711598841065991</v>
      </c>
      <c r="I22" s="176">
        <f t="shared" si="10"/>
        <v>0.24741127891896689</v>
      </c>
      <c r="J22" s="28"/>
      <c r="K22" s="62" t="s">
        <v>183</v>
      </c>
      <c r="L22" s="175">
        <f>L21/L20</f>
        <v>0.33968856680709686</v>
      </c>
      <c r="M22" s="175">
        <f t="shared" ref="M22:P22" si="11">M21/M20</f>
        <v>0.11580663132400519</v>
      </c>
      <c r="N22" s="175">
        <f t="shared" si="11"/>
        <v>0.13375474210314109</v>
      </c>
      <c r="O22" s="175">
        <f t="shared" si="11"/>
        <v>0.61850073415116424</v>
      </c>
      <c r="P22" s="176">
        <f t="shared" si="11"/>
        <v>0.28475952126837567</v>
      </c>
    </row>
    <row r="23" spans="2:16" x14ac:dyDescent="0.2">
      <c r="B23" s="61" t="s">
        <v>246</v>
      </c>
      <c r="C23" s="129">
        <f>'Aramex Courier'!D12</f>
        <v>104626.763731849</v>
      </c>
      <c r="D23" s="129"/>
      <c r="E23" s="129"/>
      <c r="F23" s="129">
        <f>'Aramex Freight'!D12</f>
        <v>171.814102409621</v>
      </c>
      <c r="G23" s="129">
        <f>'Aramex Logistics'!D12</f>
        <v>-5088.3904884523699</v>
      </c>
      <c r="H23" s="129">
        <f>-159.111807897699*('2022 IR Data Book'!$A$5)</f>
        <v>-159.11180789769901</v>
      </c>
      <c r="I23" s="129">
        <f>SUM(D23:H23)</f>
        <v>-5075.6881939404475</v>
      </c>
      <c r="J23" s="28"/>
      <c r="K23" s="61" t="s">
        <v>246</v>
      </c>
      <c r="L23" s="129">
        <f>126244*('2022 IR Data Book'!$A$5)</f>
        <v>126244</v>
      </c>
      <c r="M23" s="129">
        <f>3953*('2022 IR Data Book'!$A$5)</f>
        <v>3953</v>
      </c>
      <c r="N23" s="129">
        <f>1270*('2022 IR Data Book'!$A$5)</f>
        <v>1270</v>
      </c>
      <c r="O23" s="129">
        <f>-4745*('2022 IR Data Book'!$A$5)</f>
        <v>-4745</v>
      </c>
      <c r="P23" s="129">
        <f>SUM(L23:O23)</f>
        <v>126722</v>
      </c>
    </row>
    <row r="24" spans="2:16" x14ac:dyDescent="0.2">
      <c r="B24" s="62" t="s">
        <v>186</v>
      </c>
      <c r="C24" s="175">
        <f>C23/C20</f>
        <v>9.5047697344591953E-2</v>
      </c>
      <c r="D24" s="175"/>
      <c r="E24" s="175"/>
      <c r="F24" s="175">
        <f t="shared" ref="F24:I24" si="12">F23/F20</f>
        <v>5.2287515435148657E-4</v>
      </c>
      <c r="G24" s="175">
        <f t="shared" si="12"/>
        <v>-4.6764434490152031E-2</v>
      </c>
      <c r="H24" s="175">
        <f t="shared" si="12"/>
        <v>-4.860197153793237E-3</v>
      </c>
      <c r="I24" s="176">
        <f t="shared" si="12"/>
        <v>-3.2310223419223165E-3</v>
      </c>
      <c r="J24" s="28"/>
      <c r="K24" s="62" t="s">
        <v>186</v>
      </c>
      <c r="L24" s="175">
        <f>L23/L20</f>
        <v>0.13745726758936572</v>
      </c>
      <c r="M24" s="175">
        <f t="shared" ref="M24:P24" si="13">M23/M20</f>
        <v>1.4773408643101706E-2</v>
      </c>
      <c r="N24" s="175">
        <f t="shared" si="13"/>
        <v>1.4938749667662404E-2</v>
      </c>
      <c r="O24" s="175">
        <f t="shared" si="13"/>
        <v>-0.20845130929379035</v>
      </c>
      <c r="P24" s="176">
        <f t="shared" si="13"/>
        <v>9.794741271167326E-2</v>
      </c>
    </row>
    <row r="25" spans="2:16" x14ac:dyDescent="0.2">
      <c r="B25" s="62" t="s">
        <v>187</v>
      </c>
      <c r="C25" s="174">
        <f>'Aramex Courier'!D14</f>
        <v>164433.59567524301</v>
      </c>
      <c r="D25" s="174"/>
      <c r="E25" s="174"/>
      <c r="F25" s="174">
        <f>'Aramex Freight'!D14</f>
        <v>7725.8867375290802</v>
      </c>
      <c r="G25" s="174">
        <f>'Aramex Logistics'!D14</f>
        <v>17185.020126015799</v>
      </c>
      <c r="H25" s="174">
        <f>3366.65007097598*('2022 IR Data Book'!$A$5)</f>
        <v>3366.6500709759798</v>
      </c>
      <c r="I25" s="129">
        <f>SUM(D25:H25)</f>
        <v>28277.556934520857</v>
      </c>
      <c r="J25" s="28"/>
      <c r="K25" s="62" t="s">
        <v>187</v>
      </c>
      <c r="L25" s="174">
        <f>179449.986513259*('2022 IR Data Book'!$A$5)</f>
        <v>179449.98651325901</v>
      </c>
      <c r="M25" s="174">
        <f>10653.4667073961*('2022 IR Data Book'!$A$5)</f>
        <v>10653.466707396101</v>
      </c>
      <c r="N25" s="174">
        <f>21000.470435179*('2022 IR Data Book'!$A$5)</f>
        <v>21000.470435178999</v>
      </c>
      <c r="O25" s="174">
        <f>-1714.19742397212*('2022 IR Data Book'!$A$5)</f>
        <v>-1714.1974239721201</v>
      </c>
      <c r="P25" s="129">
        <f>SUM(L25:O25)</f>
        <v>209389.72623186198</v>
      </c>
    </row>
    <row r="26" spans="2:16" x14ac:dyDescent="0.2">
      <c r="B26" s="130" t="s">
        <v>188</v>
      </c>
      <c r="C26" s="177">
        <f>C25/C20</f>
        <v>0.14937893592006354</v>
      </c>
      <c r="D26" s="177"/>
      <c r="E26" s="177"/>
      <c r="F26" s="177">
        <f t="shared" ref="F26:I26" si="14">F25/F20</f>
        <v>2.3511889674554518E-2</v>
      </c>
      <c r="G26" s="177">
        <f t="shared" si="14"/>
        <v>0.1579375147640131</v>
      </c>
      <c r="H26" s="177">
        <f t="shared" si="14"/>
        <v>0.10283701322340315</v>
      </c>
      <c r="I26" s="177">
        <f t="shared" si="14"/>
        <v>1.8000597109076318E-2</v>
      </c>
      <c r="J26" s="28"/>
      <c r="K26" s="130" t="s">
        <v>188</v>
      </c>
      <c r="L26" s="177">
        <f>L25/L20</f>
        <v>0.19538912593914254</v>
      </c>
      <c r="M26" s="177">
        <f t="shared" ref="M26:P26" si="15">M25/M20</f>
        <v>3.9814828518604052E-2</v>
      </c>
      <c r="N26" s="177">
        <f t="shared" si="15"/>
        <v>0.24702422892463338</v>
      </c>
      <c r="O26" s="177">
        <f t="shared" si="15"/>
        <v>-7.530594255322047E-2</v>
      </c>
      <c r="P26" s="177">
        <f t="shared" si="15"/>
        <v>0.16184389397907595</v>
      </c>
    </row>
    <row r="27" spans="2:16" x14ac:dyDescent="0.2">
      <c r="C27" s="131"/>
      <c r="D27" s="131"/>
      <c r="E27" s="131"/>
      <c r="F27" s="131"/>
      <c r="G27" s="131"/>
      <c r="H27" s="131"/>
      <c r="I27" s="131"/>
      <c r="L27" s="131"/>
      <c r="M27" s="131"/>
      <c r="N27" s="131"/>
      <c r="O27" s="131"/>
      <c r="P27" s="131"/>
    </row>
    <row r="28" spans="2:16" x14ac:dyDescent="0.2">
      <c r="C28" s="131"/>
      <c r="D28" s="131"/>
      <c r="E28" s="131"/>
      <c r="F28" s="131"/>
      <c r="G28" s="131"/>
      <c r="H28" s="131"/>
      <c r="I28" s="131"/>
      <c r="L28" s="131"/>
      <c r="M28" s="131"/>
      <c r="N28" s="131"/>
      <c r="O28" s="131"/>
      <c r="P28" s="131"/>
    </row>
    <row r="29" spans="2:16" x14ac:dyDescent="0.2">
      <c r="C29" s="131"/>
      <c r="D29" s="131"/>
      <c r="E29" s="131"/>
      <c r="F29" s="131"/>
      <c r="G29" s="131"/>
      <c r="H29" s="131"/>
      <c r="I29" s="131"/>
      <c r="L29" s="131"/>
      <c r="M29" s="131"/>
      <c r="N29" s="131"/>
      <c r="O29" s="131"/>
      <c r="P29" s="131"/>
    </row>
    <row r="31" spans="2:16" x14ac:dyDescent="0.2">
      <c r="B31" s="127"/>
      <c r="C31" s="256" t="s">
        <v>25</v>
      </c>
      <c r="D31" s="256"/>
      <c r="E31" s="256"/>
      <c r="F31" s="256"/>
      <c r="G31" s="256"/>
      <c r="H31" s="256"/>
      <c r="I31" s="256"/>
      <c r="K31" s="127"/>
      <c r="L31" s="256" t="s">
        <v>248</v>
      </c>
      <c r="M31" s="256"/>
      <c r="N31" s="256"/>
      <c r="O31" s="256"/>
      <c r="P31" s="256"/>
    </row>
    <row r="32" spans="2:16" x14ac:dyDescent="0.2">
      <c r="B32" s="127"/>
      <c r="C32" s="139" t="s">
        <v>241</v>
      </c>
      <c r="D32" s="139" t="s">
        <v>301</v>
      </c>
      <c r="E32" s="139" t="s">
        <v>213</v>
      </c>
      <c r="F32" s="139" t="s">
        <v>242</v>
      </c>
      <c r="G32" s="139" t="s">
        <v>243</v>
      </c>
      <c r="H32" s="139" t="s">
        <v>244</v>
      </c>
      <c r="I32" s="139" t="s">
        <v>223</v>
      </c>
      <c r="K32" s="127"/>
      <c r="L32" s="139" t="s">
        <v>241</v>
      </c>
      <c r="M32" s="139" t="s">
        <v>242</v>
      </c>
      <c r="N32" s="139" t="s">
        <v>243</v>
      </c>
      <c r="O32" s="139" t="s">
        <v>244</v>
      </c>
      <c r="P32" s="139" t="s">
        <v>223</v>
      </c>
    </row>
    <row r="33" spans="2:16" x14ac:dyDescent="0.2">
      <c r="B33" s="60" t="s">
        <v>245</v>
      </c>
      <c r="C33" s="128">
        <f>'Aramex Courier'!E7</f>
        <v>1069651.7573773901</v>
      </c>
      <c r="D33" s="128">
        <f>'Aramex Express+SNS'!E7</f>
        <v>608876.82608421403</v>
      </c>
      <c r="E33" s="128">
        <f>'Aramex Domestic'!E7</f>
        <v>460774.931293178</v>
      </c>
      <c r="F33" s="128">
        <f>'Aramex Freight'!E7</f>
        <v>317999.95602937101</v>
      </c>
      <c r="G33" s="128">
        <f>'Aramex Logistics'!E7</f>
        <v>108445.010175879</v>
      </c>
      <c r="H33" s="128">
        <f>-34692.5657379868*('2022 IR Data Book'!$A$5)</f>
        <v>-34692.565737986799</v>
      </c>
      <c r="I33" s="128">
        <f>SUM(D33:H33)</f>
        <v>1461404.1578446554</v>
      </c>
      <c r="J33" s="91"/>
      <c r="K33" s="60" t="s">
        <v>245</v>
      </c>
      <c r="L33" s="128">
        <f>1065472.5562529*('2022 IR Data Book'!$A$5)</f>
        <v>1065472.5562529</v>
      </c>
      <c r="M33" s="128">
        <f>274871.806204384*('2022 IR Data Book'!$A$5)</f>
        <v>274871.80620438402</v>
      </c>
      <c r="N33" s="128">
        <f>94045.7817679466*('2022 IR Data Book'!$A$5)</f>
        <v>94045.781767946595</v>
      </c>
      <c r="O33" s="128">
        <f>32143.5876797614*('2022 IR Data Book'!$A$5)</f>
        <v>32143.5876797614</v>
      </c>
      <c r="P33" s="128">
        <f>SUM(L33:O33)</f>
        <v>1466533.7319049921</v>
      </c>
    </row>
    <row r="34" spans="2:16" x14ac:dyDescent="0.2">
      <c r="B34" s="61" t="s">
        <v>182</v>
      </c>
      <c r="C34" s="129">
        <f>'Aramex Courier'!E9</f>
        <v>322138.39376853104</v>
      </c>
      <c r="D34" s="129">
        <f>'Aramex Express+SNS'!E9</f>
        <v>194821.68068260903</v>
      </c>
      <c r="E34" s="129">
        <f>'Aramex Domestic'!E9</f>
        <v>127313.11244067497</v>
      </c>
      <c r="F34" s="129">
        <f>'Aramex Freight'!E9</f>
        <v>38210.717516395031</v>
      </c>
      <c r="G34" s="129">
        <f>'Aramex Logistics'!E9</f>
        <v>13667.8106856214</v>
      </c>
      <c r="H34" s="129">
        <f>-17937.2596997755*('2022 IR Data Book'!$A$5)</f>
        <v>-17937.259699775499</v>
      </c>
      <c r="I34" s="129">
        <f>SUM(D34:H34)</f>
        <v>356076.06162552495</v>
      </c>
      <c r="J34" s="91"/>
      <c r="K34" s="61" t="s">
        <v>182</v>
      </c>
      <c r="L34" s="129">
        <f>343301*('2022 IR Data Book'!$A$5)</f>
        <v>343301</v>
      </c>
      <c r="M34" s="129">
        <f>33865*('2022 IR Data Book'!$A$5)</f>
        <v>33865</v>
      </c>
      <c r="N34" s="129">
        <f>11665*('2022 IR Data Book'!$A$5)</f>
        <v>11665</v>
      </c>
      <c r="O34" s="129">
        <f>19225*('2022 IR Data Book'!$A$5)</f>
        <v>19225</v>
      </c>
      <c r="P34" s="129">
        <f>SUM(L34:O34)</f>
        <v>408056</v>
      </c>
    </row>
    <row r="35" spans="2:16" x14ac:dyDescent="0.2">
      <c r="B35" s="62" t="s">
        <v>183</v>
      </c>
      <c r="C35" s="175">
        <f>C34/C33</f>
        <v>0.3011619356923802</v>
      </c>
      <c r="D35" s="175">
        <f t="shared" ref="D35:E35" si="16">D34/D33</f>
        <v>0.31996895322086566</v>
      </c>
      <c r="E35" s="175">
        <f t="shared" si="16"/>
        <v>0.27630216792256274</v>
      </c>
      <c r="F35" s="175">
        <f t="shared" ref="F35:I35" si="17">F34/F33</f>
        <v>0.12015950566001281</v>
      </c>
      <c r="G35" s="175">
        <f t="shared" si="17"/>
        <v>0.12603448202415751</v>
      </c>
      <c r="H35" s="175">
        <f t="shared" si="17"/>
        <v>0.51703468216347592</v>
      </c>
      <c r="I35" s="176">
        <f t="shared" si="17"/>
        <v>0.24365337932983708</v>
      </c>
      <c r="J35" s="91"/>
      <c r="K35" s="62" t="s">
        <v>183</v>
      </c>
      <c r="L35" s="175">
        <f>L34/L33</f>
        <v>0.32220538951029937</v>
      </c>
      <c r="M35" s="175">
        <f t="shared" ref="M35:P35" si="18">M34/M33</f>
        <v>0.12320288671155782</v>
      </c>
      <c r="N35" s="175">
        <f t="shared" si="18"/>
        <v>0.12403533450104995</v>
      </c>
      <c r="O35" s="175">
        <f t="shared" si="18"/>
        <v>0.59809751766149788</v>
      </c>
      <c r="P35" s="176">
        <f t="shared" si="18"/>
        <v>0.27824521940586056</v>
      </c>
    </row>
    <row r="36" spans="2:16" x14ac:dyDescent="0.2">
      <c r="B36" s="62" t="s">
        <v>246</v>
      </c>
      <c r="C36" s="129">
        <f>'Aramex Courier'!E12</f>
        <v>42423.431960645299</v>
      </c>
      <c r="D36" s="129"/>
      <c r="E36" s="129"/>
      <c r="F36" s="129">
        <f>'Aramex Freight'!E12</f>
        <v>5640.0708204513503</v>
      </c>
      <c r="G36" s="129">
        <f>'Aramex Logistics'!E12</f>
        <v>5816.40331765882</v>
      </c>
      <c r="H36" s="129">
        <f>14139.974323889*('2022 IR Data Book'!$A$5)</f>
        <v>14139.974323889001</v>
      </c>
      <c r="I36" s="129">
        <f>SUM(D36:H36)</f>
        <v>25596.448461999171</v>
      </c>
      <c r="J36" s="91"/>
      <c r="K36" s="62" t="s">
        <v>246</v>
      </c>
      <c r="L36" s="129">
        <f>135940*('2022 IR Data Book'!$A$5)</f>
        <v>135940</v>
      </c>
      <c r="M36" s="129">
        <f>3055*('2022 IR Data Book'!$A$5)</f>
        <v>3055</v>
      </c>
      <c r="N36" s="129">
        <f>-53234*('2022 IR Data Book'!$A$5)</f>
        <v>-53234</v>
      </c>
      <c r="O36" s="129">
        <f>-1607*('2022 IR Data Book'!$A$5)</f>
        <v>-1607</v>
      </c>
      <c r="P36" s="129">
        <f>SUM(L36:O36)</f>
        <v>84154</v>
      </c>
    </row>
    <row r="37" spans="2:16" x14ac:dyDescent="0.2">
      <c r="B37" s="62" t="s">
        <v>186</v>
      </c>
      <c r="C37" s="175">
        <f>C36/C33</f>
        <v>3.9660975329634918E-2</v>
      </c>
      <c r="D37" s="175"/>
      <c r="E37" s="175"/>
      <c r="F37" s="175">
        <f t="shared" ref="F37:I37" si="19">F36/F33</f>
        <v>1.7736074214835501E-2</v>
      </c>
      <c r="G37" s="175">
        <f t="shared" si="19"/>
        <v>5.3634586858589649E-2</v>
      </c>
      <c r="H37" s="175">
        <f t="shared" si="19"/>
        <v>-0.40757937682327039</v>
      </c>
      <c r="I37" s="176">
        <f t="shared" si="19"/>
        <v>1.7514968959545019E-2</v>
      </c>
      <c r="J37" s="91"/>
      <c r="K37" s="62" t="s">
        <v>186</v>
      </c>
      <c r="L37" s="175">
        <f>L36/L33</f>
        <v>0.12758658043533253</v>
      </c>
      <c r="M37" s="175">
        <f t="shared" ref="M37:P37" si="20">M36/M33</f>
        <v>1.1114271929833431E-2</v>
      </c>
      <c r="N37" s="175">
        <f t="shared" si="20"/>
        <v>-0.56604346308005937</v>
      </c>
      <c r="O37" s="175">
        <f t="shared" si="20"/>
        <v>-4.9994419291652908E-2</v>
      </c>
      <c r="P37" s="176">
        <f t="shared" si="20"/>
        <v>5.7382928308567421E-2</v>
      </c>
    </row>
    <row r="38" spans="2:16" x14ac:dyDescent="0.2">
      <c r="B38" s="62" t="s">
        <v>187</v>
      </c>
      <c r="C38" s="174">
        <f>'Aramex Courier'!E14</f>
        <v>113372.50878968</v>
      </c>
      <c r="D38" s="174"/>
      <c r="E38" s="174"/>
      <c r="F38" s="174">
        <f>'Aramex Freight'!E14</f>
        <v>12316.841770576601</v>
      </c>
      <c r="G38" s="174">
        <f>'Aramex Logistics'!E14</f>
        <v>28918.980227547901</v>
      </c>
      <c r="H38" s="174">
        <f>8523.57514388524*('2022 IR Data Book'!$A$5)</f>
        <v>8523.5751438852403</v>
      </c>
      <c r="I38" s="129">
        <f>SUM(D38:H38)</f>
        <v>49759.397142009744</v>
      </c>
      <c r="J38" s="91"/>
      <c r="K38" s="62" t="s">
        <v>187</v>
      </c>
      <c r="L38" s="174">
        <f>190817.974518227*('2022 IR Data Book'!$A$5)</f>
        <v>190817.97451822701</v>
      </c>
      <c r="M38" s="174">
        <f>8915.85774876994*('2022 IR Data Book'!$A$5)</f>
        <v>8915.8577487699404</v>
      </c>
      <c r="N38" s="174">
        <f>-32546.2048357356*('2022 IR Data Book'!$A$5)</f>
        <v>-32546.2048357356</v>
      </c>
      <c r="O38" s="174">
        <f>2291.72712826686*('2022 IR Data Book'!$A$5)</f>
        <v>2291.7271282668598</v>
      </c>
      <c r="P38" s="129">
        <f>SUM(L38:O38)</f>
        <v>169479.3545595282</v>
      </c>
    </row>
    <row r="39" spans="2:16" x14ac:dyDescent="0.2">
      <c r="B39" s="130" t="s">
        <v>188</v>
      </c>
      <c r="C39" s="177">
        <f>C38/C33</f>
        <v>0.10599011127476733</v>
      </c>
      <c r="D39" s="177"/>
      <c r="E39" s="177"/>
      <c r="F39" s="177">
        <f t="shared" ref="F39:I39" si="21">F38/F33</f>
        <v>3.873221218130922E-2</v>
      </c>
      <c r="G39" s="177">
        <f t="shared" si="21"/>
        <v>0.26666953307161234</v>
      </c>
      <c r="H39" s="177">
        <f t="shared" si="21"/>
        <v>-0.24568880861274289</v>
      </c>
      <c r="I39" s="177">
        <f t="shared" si="21"/>
        <v>3.4049032141387318E-2</v>
      </c>
      <c r="J39" s="91"/>
      <c r="K39" s="130" t="s">
        <v>188</v>
      </c>
      <c r="L39" s="177">
        <f>L38/L33</f>
        <v>0.17909234113856853</v>
      </c>
      <c r="M39" s="177">
        <f t="shared" ref="M39:P39" si="22">M38/M33</f>
        <v>3.2436421442730484E-2</v>
      </c>
      <c r="N39" s="177">
        <f t="shared" si="22"/>
        <v>-0.34606767282813156</v>
      </c>
      <c r="O39" s="177">
        <f t="shared" si="22"/>
        <v>7.129655690891662E-2</v>
      </c>
      <c r="P39" s="177">
        <f t="shared" si="22"/>
        <v>0.1155645798473238</v>
      </c>
    </row>
    <row r="42" spans="2:16" hidden="1" x14ac:dyDescent="0.2">
      <c r="B42" s="127"/>
      <c r="C42" s="256" t="s">
        <v>26</v>
      </c>
      <c r="D42" s="256"/>
      <c r="E42" s="256"/>
      <c r="F42" s="256"/>
      <c r="G42" s="256"/>
      <c r="H42" s="256"/>
      <c r="I42" s="256"/>
      <c r="K42" s="127"/>
      <c r="L42" s="256" t="s">
        <v>249</v>
      </c>
      <c r="M42" s="256"/>
      <c r="N42" s="256"/>
      <c r="O42" s="256"/>
      <c r="P42" s="256"/>
    </row>
    <row r="43" spans="2:16" hidden="1" x14ac:dyDescent="0.2">
      <c r="B43" s="127"/>
      <c r="C43" s="139" t="s">
        <v>241</v>
      </c>
      <c r="D43" s="139" t="s">
        <v>301</v>
      </c>
      <c r="E43" s="139" t="s">
        <v>213</v>
      </c>
      <c r="F43" s="139" t="s">
        <v>242</v>
      </c>
      <c r="G43" s="139" t="s">
        <v>243</v>
      </c>
      <c r="H43" s="139" t="s">
        <v>244</v>
      </c>
      <c r="I43" s="139" t="s">
        <v>223</v>
      </c>
      <c r="K43" s="127"/>
      <c r="L43" s="139" t="s">
        <v>241</v>
      </c>
      <c r="M43" s="139" t="s">
        <v>242</v>
      </c>
      <c r="N43" s="139" t="s">
        <v>243</v>
      </c>
      <c r="O43" s="139" t="s">
        <v>244</v>
      </c>
      <c r="P43" s="139" t="s">
        <v>223</v>
      </c>
    </row>
    <row r="44" spans="2:16" hidden="1" x14ac:dyDescent="0.2">
      <c r="B44" s="60" t="s">
        <v>245</v>
      </c>
      <c r="C44" s="128">
        <f>'Aramex Courier'!F7</f>
        <v>1043644.04944887</v>
      </c>
      <c r="D44" s="128">
        <f>'Aramex Express+SNS'!F7</f>
        <v>671393.26672844798</v>
      </c>
      <c r="E44" s="128">
        <f>'Aramex Domestic'!F7</f>
        <v>372250.78272042098</v>
      </c>
      <c r="F44" s="128">
        <f>'Aramex Freight'!F7</f>
        <v>390676.02399267798</v>
      </c>
      <c r="G44" s="128">
        <f>'Aramex Logistics'!F7</f>
        <v>113016.407797778</v>
      </c>
      <c r="H44" s="128">
        <f>64208.0360489572*('2022 IR Data Book'!$A$5)</f>
        <v>64208.036048957198</v>
      </c>
      <c r="I44" s="128">
        <f>SUM(D44:H44)</f>
        <v>1611544.517288282</v>
      </c>
      <c r="K44" s="60" t="s">
        <v>245</v>
      </c>
      <c r="L44" s="128">
        <f>1183088.24381891*('2022 IR Data Book'!$A$5)</f>
        <v>1183088.2438189101</v>
      </c>
      <c r="M44" s="128">
        <f>279847.239544934*('2022 IR Data Book'!$A$5)</f>
        <v>279847.23954493401</v>
      </c>
      <c r="N44" s="128">
        <f>100758.250635899*('2022 IR Data Book'!$A$5)</f>
        <v>100758.25063589901</v>
      </c>
      <c r="O44" s="128">
        <f>34652.0164646013*('2022 IR Data Book'!$A$5)</f>
        <v>34652.0164646013</v>
      </c>
      <c r="P44" s="128">
        <f>SUM(L44:O44)</f>
        <v>1598345.7504643442</v>
      </c>
    </row>
    <row r="45" spans="2:16" hidden="1" x14ac:dyDescent="0.2">
      <c r="B45" s="61" t="s">
        <v>182</v>
      </c>
      <c r="C45" s="129">
        <f>'Aramex Courier'!F9</f>
        <v>257298.79263545002</v>
      </c>
      <c r="D45" s="129">
        <f>'Aramex Express+SNS'!F9</f>
        <v>183232.495723892</v>
      </c>
      <c r="E45" s="129">
        <f>'Aramex Domestic'!F9</f>
        <v>74066.296911555983</v>
      </c>
      <c r="F45" s="129">
        <f>'Aramex Freight'!F9</f>
        <v>44878.361750983982</v>
      </c>
      <c r="G45" s="129">
        <f>'Aramex Logistics'!F9</f>
        <v>3866.3617152739898</v>
      </c>
      <c r="H45" s="129">
        <f>21432.8164407227*('2022 IR Data Book'!$A$5)</f>
        <v>21432.816440722701</v>
      </c>
      <c r="I45" s="129">
        <f>SUM(D45:H45)</f>
        <v>327476.33254242863</v>
      </c>
      <c r="K45" s="61" t="s">
        <v>182</v>
      </c>
      <c r="L45" s="129">
        <f>354414*('2022 IR Data Book'!$A$5)</f>
        <v>354414</v>
      </c>
      <c r="M45" s="129">
        <f>18812*('2022 IR Data Book'!$A$5)</f>
        <v>18812</v>
      </c>
      <c r="N45" s="129">
        <f>9009.99999999999*('2022 IR Data Book'!$A$5)</f>
        <v>9009.9999999999909</v>
      </c>
      <c r="O45" s="129">
        <f>24736*('2022 IR Data Book'!$A$5)</f>
        <v>24736</v>
      </c>
      <c r="P45" s="129">
        <f>SUM(L45:O45)</f>
        <v>406972</v>
      </c>
    </row>
    <row r="46" spans="2:16" hidden="1" x14ac:dyDescent="0.2">
      <c r="B46" s="62" t="s">
        <v>183</v>
      </c>
      <c r="C46" s="175">
        <f>C45/C44</f>
        <v>0.2465388393402185</v>
      </c>
      <c r="D46" s="175">
        <f t="shared" ref="D46:E46" si="23">D45/D44</f>
        <v>0.27291381192537684</v>
      </c>
      <c r="E46" s="175">
        <f t="shared" si="23"/>
        <v>0.1989688144381512</v>
      </c>
      <c r="F46" s="175">
        <f t="shared" ref="F46:I46" si="24">F45/F44</f>
        <v>0.11487360112947471</v>
      </c>
      <c r="G46" s="175">
        <f t="shared" si="24"/>
        <v>3.4210622958324159E-2</v>
      </c>
      <c r="H46" s="175">
        <f t="shared" si="24"/>
        <v>0.33380271005923084</v>
      </c>
      <c r="I46" s="176">
        <f t="shared" si="24"/>
        <v>0.20320650719191261</v>
      </c>
      <c r="K46" s="62" t="s">
        <v>183</v>
      </c>
      <c r="L46" s="175">
        <f t="shared" ref="L46" si="25">L45/L44</f>
        <v>0.29956683438589599</v>
      </c>
      <c r="M46" s="175">
        <f t="shared" ref="M46" si="26">M45/M44</f>
        <v>6.7222389009770553E-2</v>
      </c>
      <c r="N46" s="175">
        <f t="shared" ref="N46" si="27">N45/N44</f>
        <v>8.9421957439084709E-2</v>
      </c>
      <c r="O46" s="175">
        <f t="shared" ref="O46" si="28">O45/O44</f>
        <v>0.71384013179345607</v>
      </c>
      <c r="P46" s="176">
        <f t="shared" ref="P46" si="29">P45/P44</f>
        <v>0.25462075391495759</v>
      </c>
    </row>
    <row r="47" spans="2:16" hidden="1" x14ac:dyDescent="0.2">
      <c r="B47" s="62" t="s">
        <v>246</v>
      </c>
      <c r="C47" s="129">
        <f>'Aramex Courier'!F12</f>
        <v>40584.339646128697</v>
      </c>
      <c r="D47" s="129" t="e">
        <f>'Aramex Express+SNS'!#REF!</f>
        <v>#REF!</v>
      </c>
      <c r="E47" s="129" t="e">
        <f>'Aramex Domestic'!#REF!</f>
        <v>#REF!</v>
      </c>
      <c r="F47" s="129">
        <f>'Aramex Freight'!F12</f>
        <v>4141.4806397408001</v>
      </c>
      <c r="G47" s="129">
        <f>'Aramex Logistics'!F12</f>
        <v>15863.6146362646</v>
      </c>
      <c r="H47" s="129">
        <f>-1942.01158003503*('2022 IR Data Book'!$A$5)</f>
        <v>-1942.01158003503</v>
      </c>
      <c r="I47" s="129" t="e">
        <f>SUM(D47:H47)</f>
        <v>#REF!</v>
      </c>
      <c r="K47" s="62" t="s">
        <v>246</v>
      </c>
      <c r="L47" s="129">
        <f>127651*('2022 IR Data Book'!$A$5)</f>
        <v>127651</v>
      </c>
      <c r="M47" s="129">
        <f>-13506*('2022 IR Data Book'!$A$5)</f>
        <v>-13506</v>
      </c>
      <c r="N47" s="129">
        <f>-39394*('2022 IR Data Book'!$A$5)</f>
        <v>-39394</v>
      </c>
      <c r="O47" s="129">
        <f>14414*('2022 IR Data Book'!$A$5)</f>
        <v>14414</v>
      </c>
      <c r="P47" s="129">
        <f>SUM(L47:O47)</f>
        <v>89165</v>
      </c>
    </row>
    <row r="48" spans="2:16" hidden="1" x14ac:dyDescent="0.2">
      <c r="B48" s="62" t="s">
        <v>186</v>
      </c>
      <c r="C48" s="175">
        <f>C47/C44</f>
        <v>3.8887147076209147E-2</v>
      </c>
      <c r="D48" s="175" t="e">
        <f t="shared" ref="D48:E48" si="30">D47/D44</f>
        <v>#REF!</v>
      </c>
      <c r="E48" s="175" t="e">
        <f t="shared" si="30"/>
        <v>#REF!</v>
      </c>
      <c r="F48" s="175">
        <f t="shared" ref="F48:I48" si="31">F47/F44</f>
        <v>1.0600805745423526E-2</v>
      </c>
      <c r="G48" s="175">
        <f t="shared" si="31"/>
        <v>0.14036558890324677</v>
      </c>
      <c r="H48" s="175">
        <f t="shared" si="31"/>
        <v>-3.0245615650886588E-2</v>
      </c>
      <c r="I48" s="176" t="e">
        <f t="shared" si="31"/>
        <v>#REF!</v>
      </c>
      <c r="K48" s="62" t="s">
        <v>186</v>
      </c>
      <c r="L48" s="175">
        <f>L47/L44</f>
        <v>0.10789643178935937</v>
      </c>
      <c r="M48" s="175">
        <f t="shared" ref="M48:P48" si="32">M47/M44</f>
        <v>-4.8262044756855256E-2</v>
      </c>
      <c r="N48" s="175">
        <f t="shared" si="32"/>
        <v>-0.39097542634354127</v>
      </c>
      <c r="O48" s="175">
        <f t="shared" si="32"/>
        <v>0.41596424885474109</v>
      </c>
      <c r="P48" s="176">
        <f t="shared" si="32"/>
        <v>5.5785802273441897E-2</v>
      </c>
    </row>
    <row r="49" spans="2:16" hidden="1" x14ac:dyDescent="0.2">
      <c r="B49" s="62" t="s">
        <v>187</v>
      </c>
      <c r="C49" s="174">
        <f>'Aramex Courier'!F14</f>
        <v>97113.976719968807</v>
      </c>
      <c r="D49" s="174" t="e">
        <f>'Aramex Express+SNS'!#REF!</f>
        <v>#REF!</v>
      </c>
      <c r="E49" s="174" t="e">
        <f>'Aramex Domestic'!#REF!</f>
        <v>#REF!</v>
      </c>
      <c r="F49" s="174">
        <f>'Aramex Freight'!F14</f>
        <v>11485.708515803801</v>
      </c>
      <c r="G49" s="174">
        <f>'Aramex Logistics'!F14</f>
        <v>38202.377211557301</v>
      </c>
      <c r="H49" s="174">
        <f>2849.07552683917*('2022 IR Data Book'!$A$5)</f>
        <v>2849.0755268391699</v>
      </c>
      <c r="I49" s="129" t="e">
        <f>SUM(D49:H49)</f>
        <v>#REF!</v>
      </c>
      <c r="K49" s="62" t="s">
        <v>187</v>
      </c>
      <c r="L49" s="174">
        <f>185007.379428629*('2022 IR Data Book'!$A$5)</f>
        <v>185007.37942862901</v>
      </c>
      <c r="M49" s="174">
        <f>1935.44186111497*('2022 IR Data Book'!$A$5)</f>
        <v>1935.4418611149699</v>
      </c>
      <c r="N49" s="174">
        <f>-18868.2903895795*('2022 IR Data Book'!$A$5)</f>
        <v>-18868.290389579499</v>
      </c>
      <c r="O49" s="174">
        <f>11528.0646359834*('2022 IR Data Book'!$A$5)</f>
        <v>11528.064635983401</v>
      </c>
      <c r="P49" s="129">
        <f>SUM(L49:O49)</f>
        <v>179602.59553614788</v>
      </c>
    </row>
    <row r="50" spans="2:16" hidden="1" x14ac:dyDescent="0.2">
      <c r="B50" s="130" t="s">
        <v>188</v>
      </c>
      <c r="C50" s="177">
        <f>C49/C44</f>
        <v>9.305277673096779E-2</v>
      </c>
      <c r="D50" s="177" t="e">
        <f t="shared" ref="D50:E50" si="33">D49/D44</f>
        <v>#REF!</v>
      </c>
      <c r="E50" s="177" t="e">
        <f t="shared" si="33"/>
        <v>#REF!</v>
      </c>
      <c r="F50" s="177">
        <f t="shared" ref="F50:I50" si="34">F49/F44</f>
        <v>2.9399573586371568E-2</v>
      </c>
      <c r="G50" s="177">
        <f t="shared" si="34"/>
        <v>0.33802505278625916</v>
      </c>
      <c r="H50" s="177">
        <f t="shared" si="34"/>
        <v>4.4372569263243206E-2</v>
      </c>
      <c r="I50" s="177" t="e">
        <f t="shared" si="34"/>
        <v>#REF!</v>
      </c>
      <c r="K50" s="130" t="s">
        <v>188</v>
      </c>
      <c r="L50" s="177">
        <f t="shared" ref="L50:P50" si="35">L49/L44</f>
        <v>0.15637665270972573</v>
      </c>
      <c r="M50" s="177">
        <f t="shared" si="35"/>
        <v>6.9160655801437819E-3</v>
      </c>
      <c r="N50" s="177">
        <f t="shared" si="35"/>
        <v>-0.18726298115041851</v>
      </c>
      <c r="O50" s="177">
        <f t="shared" si="35"/>
        <v>0.33268091765337443</v>
      </c>
      <c r="P50" s="177">
        <f t="shared" si="35"/>
        <v>0.11236779994814673</v>
      </c>
    </row>
    <row r="53" spans="2:16" x14ac:dyDescent="0.2">
      <c r="B53" s="127"/>
      <c r="C53" s="256" t="s">
        <v>28</v>
      </c>
      <c r="D53" s="256"/>
      <c r="E53" s="256"/>
      <c r="F53" s="256"/>
      <c r="G53" s="256"/>
      <c r="H53" s="256"/>
      <c r="I53" s="256"/>
    </row>
    <row r="54" spans="2:16" x14ac:dyDescent="0.2">
      <c r="B54" s="127"/>
      <c r="C54" s="139" t="s">
        <v>241</v>
      </c>
      <c r="D54" s="139" t="s">
        <v>301</v>
      </c>
      <c r="E54" s="139" t="s">
        <v>213</v>
      </c>
      <c r="F54" s="139" t="s">
        <v>242</v>
      </c>
      <c r="G54" s="139" t="s">
        <v>243</v>
      </c>
      <c r="H54" s="139" t="s">
        <v>244</v>
      </c>
      <c r="I54" s="139" t="s">
        <v>223</v>
      </c>
      <c r="K54" s="28"/>
    </row>
    <row r="55" spans="2:16" x14ac:dyDescent="0.2">
      <c r="B55" s="60" t="s">
        <v>245</v>
      </c>
      <c r="C55" s="128">
        <f>'Aramex Courier'!G7</f>
        <v>911091.91867505503</v>
      </c>
      <c r="D55" s="128">
        <f>'Aramex Express+SNS'!G7</f>
        <v>557745.39356100303</v>
      </c>
      <c r="E55" s="128">
        <f>'Aramex Domestic'!G7</f>
        <v>353346.525114052</v>
      </c>
      <c r="F55" s="128">
        <f>'Aramex Freight'!G7</f>
        <v>391132.66692934901</v>
      </c>
      <c r="G55" s="128">
        <f>'Aramex Logistics'!G7</f>
        <v>112105.259668336</v>
      </c>
      <c r="H55" s="128">
        <f>34601.9833958592*('2022 IR Data Book'!$A$5)</f>
        <v>34601.983395859199</v>
      </c>
      <c r="I55" s="128">
        <f>SUM(D55:H55)</f>
        <v>1448931.8286685992</v>
      </c>
      <c r="J55" s="228"/>
      <c r="K55" s="28"/>
    </row>
    <row r="56" spans="2:16" x14ac:dyDescent="0.2">
      <c r="B56" s="61" t="s">
        <v>182</v>
      </c>
      <c r="C56" s="129">
        <f>'Aramex Courier'!G9</f>
        <v>257207.00737187103</v>
      </c>
      <c r="D56" s="129">
        <f>'Aramex Express+SNS'!G9</f>
        <v>176861.31314466905</v>
      </c>
      <c r="E56" s="129">
        <f>'Aramex Domestic'!G9</f>
        <v>80345.69422720297</v>
      </c>
      <c r="F56" s="129">
        <f>'Aramex Freight'!G9</f>
        <v>51962.140102084028</v>
      </c>
      <c r="G56" s="129">
        <f>'Aramex Logistics'!G9</f>
        <v>13262.422682850796</v>
      </c>
      <c r="H56" s="129">
        <f>21668.6501526245*('2022 IR Data Book'!$A$5)</f>
        <v>21668.650152624501</v>
      </c>
      <c r="I56" s="129">
        <f>SUM(D56:H56)</f>
        <v>344100.22030943137</v>
      </c>
      <c r="J56" s="228"/>
    </row>
    <row r="57" spans="2:16" x14ac:dyDescent="0.2">
      <c r="B57" s="62" t="s">
        <v>183</v>
      </c>
      <c r="C57" s="175">
        <f>C56/C55</f>
        <v>0.28230632069035511</v>
      </c>
      <c r="D57" s="175">
        <f t="shared" ref="D57:E57" si="36">D56/D55</f>
        <v>0.31710044616500266</v>
      </c>
      <c r="E57" s="175">
        <f t="shared" si="36"/>
        <v>0.22738498475758112</v>
      </c>
      <c r="F57" s="175">
        <f t="shared" ref="F57:I57" si="37">F56/F55</f>
        <v>0.13285042262008262</v>
      </c>
      <c r="G57" s="175">
        <f t="shared" si="37"/>
        <v>0.11830330460932648</v>
      </c>
      <c r="H57" s="175">
        <f t="shared" si="37"/>
        <v>0.62622566760775844</v>
      </c>
      <c r="I57" s="176">
        <f t="shared" si="37"/>
        <v>0.23748544514038294</v>
      </c>
      <c r="J57" s="228"/>
    </row>
    <row r="58" spans="2:16" x14ac:dyDescent="0.2">
      <c r="B58" s="62" t="s">
        <v>246</v>
      </c>
      <c r="C58" s="129">
        <f>'Aramex Courier'!G12</f>
        <v>52446.692777641401</v>
      </c>
      <c r="D58" s="129"/>
      <c r="E58" s="129"/>
      <c r="F58" s="129">
        <f>'Aramex Freight'!G12</f>
        <v>14686.211614607901</v>
      </c>
      <c r="G58" s="129">
        <f>'Aramex Logistics'!G12</f>
        <v>5884.6276069965998</v>
      </c>
      <c r="H58" s="129">
        <f>1986.59382133563*('2022 IR Data Book'!$A$5)</f>
        <v>1986.5938213356301</v>
      </c>
      <c r="I58" s="129">
        <f>SUM(D58:H58)</f>
        <v>22557.433042940131</v>
      </c>
      <c r="J58" s="228"/>
    </row>
    <row r="59" spans="2:16" x14ac:dyDescent="0.2">
      <c r="B59" s="62" t="s">
        <v>186</v>
      </c>
      <c r="C59" s="175">
        <f>C58/C55</f>
        <v>5.7564655884459387E-2</v>
      </c>
      <c r="D59" s="175"/>
      <c r="E59" s="175"/>
      <c r="F59" s="175">
        <f t="shared" ref="F59:I59" si="38">F58/F55</f>
        <v>3.7547903451543456E-2</v>
      </c>
      <c r="G59" s="175">
        <f t="shared" si="38"/>
        <v>5.2491984982741234E-2</v>
      </c>
      <c r="H59" s="175">
        <f t="shared" si="38"/>
        <v>5.7412715294619922E-2</v>
      </c>
      <c r="I59" s="176">
        <f t="shared" si="38"/>
        <v>1.5568319086252527E-2</v>
      </c>
      <c r="J59" s="228"/>
    </row>
    <row r="60" spans="2:16" x14ac:dyDescent="0.2">
      <c r="B60" s="62" t="s">
        <v>187</v>
      </c>
      <c r="C60" s="174">
        <f>'Aramex Courier'!G14</f>
        <v>111870.829071796</v>
      </c>
      <c r="D60" s="174"/>
      <c r="E60" s="174"/>
      <c r="F60" s="174">
        <f>'Aramex Freight'!G14</f>
        <v>21571.262955986898</v>
      </c>
      <c r="G60" s="174">
        <f>'Aramex Logistics'!G14</f>
        <v>28854.052447652699</v>
      </c>
      <c r="H60" s="174">
        <f>6370.09771565414*('2022 IR Data Book'!$A$5)</f>
        <v>6370.0977156541403</v>
      </c>
      <c r="I60" s="129">
        <f>SUM(D60:H60)</f>
        <v>56795.413119293742</v>
      </c>
      <c r="J60" s="228"/>
    </row>
    <row r="61" spans="2:16" x14ac:dyDescent="0.2">
      <c r="B61" s="130" t="s">
        <v>188</v>
      </c>
      <c r="C61" s="177">
        <f>C60/C55</f>
        <v>0.12278764280390378</v>
      </c>
      <c r="D61" s="177"/>
      <c r="E61" s="177"/>
      <c r="F61" s="177">
        <f t="shared" ref="F61:I61" si="39">F60/F55</f>
        <v>5.5150757734800389E-2</v>
      </c>
      <c r="G61" s="177">
        <f t="shared" si="39"/>
        <v>0.25738357444617288</v>
      </c>
      <c r="H61" s="177">
        <f t="shared" si="39"/>
        <v>0.18409631733470072</v>
      </c>
      <c r="I61" s="177">
        <f t="shared" si="39"/>
        <v>3.9198126506394822E-2</v>
      </c>
      <c r="J61" s="228"/>
    </row>
    <row r="65" spans="2:12" x14ac:dyDescent="0.2">
      <c r="B65" s="127"/>
      <c r="C65" s="256" t="s">
        <v>29</v>
      </c>
      <c r="D65" s="256"/>
      <c r="E65" s="256"/>
      <c r="F65" s="256"/>
      <c r="G65" s="256"/>
      <c r="H65" s="256"/>
      <c r="I65" s="256"/>
    </row>
    <row r="66" spans="2:12" x14ac:dyDescent="0.2">
      <c r="B66" s="127"/>
      <c r="C66" s="139" t="s">
        <v>241</v>
      </c>
      <c r="D66" s="139" t="s">
        <v>301</v>
      </c>
      <c r="E66" s="139" t="s">
        <v>213</v>
      </c>
      <c r="F66" s="139" t="s">
        <v>242</v>
      </c>
      <c r="G66" s="139" t="s">
        <v>243</v>
      </c>
      <c r="H66" s="139" t="s">
        <v>244</v>
      </c>
      <c r="I66" s="139" t="s">
        <v>223</v>
      </c>
      <c r="L66" s="28"/>
    </row>
    <row r="67" spans="2:12" x14ac:dyDescent="0.2">
      <c r="B67" s="60" t="s">
        <v>245</v>
      </c>
      <c r="C67" s="128">
        <f>'Aramex Courier'!H7</f>
        <v>936163.10169475502</v>
      </c>
      <c r="D67" s="128">
        <f>'Aramex Express+SNS'!H7</f>
        <v>587090.84598930902</v>
      </c>
      <c r="E67" s="128">
        <f>'Aramex Domestic'!H7</f>
        <v>349072.255705446</v>
      </c>
      <c r="F67" s="128">
        <f>'Aramex Freight'!H7</f>
        <v>432410.05970134598</v>
      </c>
      <c r="G67" s="128">
        <f>'Aramex Logistics'!H7</f>
        <v>111756.154186905</v>
      </c>
      <c r="H67" s="128">
        <f>36259.4351956508*('2022 IR Data Book'!$A$5)</f>
        <v>36259.435195650804</v>
      </c>
      <c r="I67" s="128">
        <f>SUM(D67:H67)</f>
        <v>1516588.7507786569</v>
      </c>
      <c r="J67" s="228"/>
    </row>
    <row r="68" spans="2:12" x14ac:dyDescent="0.2">
      <c r="B68" s="61" t="s">
        <v>182</v>
      </c>
      <c r="C68" s="129">
        <f>'Aramex Courier'!H9</f>
        <v>267049.79247436207</v>
      </c>
      <c r="D68" s="129">
        <f>'Aramex Express+SNS'!H9</f>
        <v>188766.13572484301</v>
      </c>
      <c r="E68" s="129">
        <f>'Aramex Domestic'!H9</f>
        <v>78283.656749518996</v>
      </c>
      <c r="F68" s="129">
        <f>'Aramex Freight'!H9</f>
        <v>57900.631034185993</v>
      </c>
      <c r="G68" s="129">
        <f>'Aramex Logistics'!H9</f>
        <v>28444.5387291472</v>
      </c>
      <c r="H68" s="129">
        <f>25227.8134613751*('2022 IR Data Book'!$A$5)</f>
        <v>25227.813461375099</v>
      </c>
      <c r="I68" s="129">
        <f>SUM(D68:H68)</f>
        <v>378622.77569907031</v>
      </c>
      <c r="J68" s="228"/>
    </row>
    <row r="69" spans="2:12" x14ac:dyDescent="0.2">
      <c r="B69" s="62" t="s">
        <v>183</v>
      </c>
      <c r="C69" s="175">
        <f>C68/C67</f>
        <v>0.28525989968085308</v>
      </c>
      <c r="D69" s="175">
        <f t="shared" ref="D69:E69" si="40">D68/D67</f>
        <v>0.32152798330001636</v>
      </c>
      <c r="E69" s="175">
        <f t="shared" si="40"/>
        <v>0.22426204165471195</v>
      </c>
      <c r="F69" s="175">
        <f t="shared" ref="F69" si="41">F68/F67</f>
        <v>0.13390213695346589</v>
      </c>
      <c r="G69" s="175">
        <f t="shared" ref="G69" si="42">G68/G67</f>
        <v>0.25452324246569485</v>
      </c>
      <c r="H69" s="175">
        <f t="shared" ref="H69:I69" si="43">H68/H67</f>
        <v>0.69575858877142938</v>
      </c>
      <c r="I69" s="176">
        <f t="shared" si="43"/>
        <v>0.24965421608506283</v>
      </c>
      <c r="J69" s="228"/>
    </row>
    <row r="70" spans="2:12" x14ac:dyDescent="0.2">
      <c r="B70" s="62" t="s">
        <v>246</v>
      </c>
      <c r="C70" s="129">
        <f>'Aramex Courier'!H12</f>
        <v>40108.639869564999</v>
      </c>
      <c r="D70" s="129"/>
      <c r="E70" s="129"/>
      <c r="F70" s="129">
        <f>'Aramex Freight'!H12</f>
        <v>17191.527231988101</v>
      </c>
      <c r="G70" s="129">
        <f>'Aramex Logistics'!H12</f>
        <v>5179.8432427589596</v>
      </c>
      <c r="H70" s="129">
        <f>1086.56804460954*('2022 IR Data Book'!$A$5)</f>
        <v>1086.56804460954</v>
      </c>
      <c r="I70" s="129">
        <f>SUM(D70:H70)</f>
        <v>23457.938519356601</v>
      </c>
      <c r="J70" s="228"/>
    </row>
    <row r="71" spans="2:12" x14ac:dyDescent="0.2">
      <c r="B71" s="62" t="s">
        <v>186</v>
      </c>
      <c r="C71" s="175">
        <f>C70/C67</f>
        <v>4.2843645297443916E-2</v>
      </c>
      <c r="D71" s="175"/>
      <c r="E71" s="175"/>
      <c r="F71" s="175">
        <f t="shared" ref="F71" si="44">F70/F67</f>
        <v>3.975746365350942E-2</v>
      </c>
      <c r="G71" s="175">
        <f t="shared" ref="G71" si="45">G70/G67</f>
        <v>4.634951229706781E-2</v>
      </c>
      <c r="H71" s="175">
        <f t="shared" ref="H71:I71" si="46">H70/H67</f>
        <v>2.9966491169720982E-2</v>
      </c>
      <c r="I71" s="176">
        <f t="shared" si="46"/>
        <v>1.5467567267205875E-2</v>
      </c>
      <c r="J71" s="228"/>
    </row>
    <row r="72" spans="2:12" x14ac:dyDescent="0.2">
      <c r="B72" s="62" t="s">
        <v>187</v>
      </c>
      <c r="C72" s="174">
        <f>'Aramex Courier'!H14</f>
        <v>98398.969368272999</v>
      </c>
      <c r="D72" s="174"/>
      <c r="E72" s="174"/>
      <c r="F72" s="174">
        <f>'Aramex Freight'!H14</f>
        <v>24721.107975710998</v>
      </c>
      <c r="G72" s="174">
        <f>'Aramex Logistics'!H14</f>
        <v>26975.438780177101</v>
      </c>
      <c r="H72" s="174">
        <f>5436.60428984679*('2022 IR Data Book'!$A$5)</f>
        <v>5436.6042898467904</v>
      </c>
      <c r="I72" s="129">
        <f>SUM(D72:H72)</f>
        <v>57133.151045734892</v>
      </c>
      <c r="J72" s="228"/>
    </row>
    <row r="73" spans="2:12" x14ac:dyDescent="0.2">
      <c r="B73" s="130" t="s">
        <v>188</v>
      </c>
      <c r="C73" s="177">
        <f>C72/C67</f>
        <v>0.10510878840464803</v>
      </c>
      <c r="D73" s="177"/>
      <c r="E73" s="177"/>
      <c r="F73" s="177">
        <f t="shared" ref="F73" si="47">F72/F67</f>
        <v>5.7170520021632254E-2</v>
      </c>
      <c r="G73" s="177">
        <f t="shared" ref="G73" si="48">G72/G67</f>
        <v>0.24137765813829287</v>
      </c>
      <c r="H73" s="177">
        <f t="shared" ref="H73:I73" si="49">H72/H67</f>
        <v>0.14993626515448019</v>
      </c>
      <c r="I73" s="177">
        <f t="shared" si="49"/>
        <v>3.7672144816055915E-2</v>
      </c>
      <c r="J73" s="228"/>
    </row>
    <row r="77" spans="2:12" x14ac:dyDescent="0.2">
      <c r="B77" s="127"/>
      <c r="C77" s="256" t="s">
        <v>293</v>
      </c>
      <c r="D77" s="256"/>
      <c r="E77" s="256"/>
      <c r="F77" s="256"/>
      <c r="G77" s="256"/>
      <c r="H77" s="256"/>
      <c r="I77" s="256"/>
    </row>
    <row r="78" spans="2:12" x14ac:dyDescent="0.2">
      <c r="B78" s="127"/>
      <c r="C78" s="139" t="s">
        <v>241</v>
      </c>
      <c r="D78" s="139" t="s">
        <v>301</v>
      </c>
      <c r="E78" s="139" t="s">
        <v>213</v>
      </c>
      <c r="F78" s="139" t="s">
        <v>242</v>
      </c>
      <c r="G78" s="139" t="s">
        <v>243</v>
      </c>
      <c r="H78" s="139" t="s">
        <v>244</v>
      </c>
      <c r="I78" s="139" t="s">
        <v>223</v>
      </c>
    </row>
    <row r="79" spans="2:12" x14ac:dyDescent="0.2">
      <c r="B79" s="60" t="s">
        <v>245</v>
      </c>
      <c r="C79" s="128">
        <f>'Aramex Courier'!I7</f>
        <v>913035.34553022799</v>
      </c>
      <c r="D79" s="128">
        <f>'Aramex Express+SNS'!I7</f>
        <v>496499.900127167</v>
      </c>
      <c r="E79" s="128">
        <f>'Aramex Domestic'!I7</f>
        <v>416535.44540306099</v>
      </c>
      <c r="F79" s="128">
        <f>'Aramex Freight'!I7</f>
        <v>439529.933418189</v>
      </c>
      <c r="G79" s="128">
        <f>'Aramex Logistics'!I7</f>
        <v>110474.51392035501</v>
      </c>
      <c r="H79" s="128">
        <f>-36789.3525840966*('2022 IR Data Book'!$A$5)</f>
        <v>-36789.352584096603</v>
      </c>
      <c r="I79" s="128">
        <f>SUM(D79:H79)</f>
        <v>1426250.4402846755</v>
      </c>
      <c r="J79" s="228"/>
      <c r="K79" s="28"/>
    </row>
    <row r="80" spans="2:12" x14ac:dyDescent="0.2">
      <c r="B80" s="61" t="s">
        <v>182</v>
      </c>
      <c r="C80" s="129">
        <f>'Aramex Courier'!I9</f>
        <v>269772.75660972798</v>
      </c>
      <c r="D80" s="129">
        <f>'Aramex Express+SNS'!I9</f>
        <v>153702.36819856899</v>
      </c>
      <c r="E80" s="129">
        <f>'Aramex Domestic'!I9</f>
        <v>116070.40023693</v>
      </c>
      <c r="F80" s="129">
        <f>'Aramex Freight'!I9</f>
        <v>60873.452389403014</v>
      </c>
      <c r="G80" s="129">
        <f>'Aramex Logistics'!I9</f>
        <v>8615.640485173004</v>
      </c>
      <c r="H80" s="129">
        <f>-18434.7593072861*('2022 IR Data Book'!$A$5)</f>
        <v>-18434.759307286098</v>
      </c>
      <c r="I80" s="129">
        <f>SUM(D80:H80)</f>
        <v>320827.10200278892</v>
      </c>
      <c r="J80" s="228"/>
      <c r="K80" s="28"/>
    </row>
    <row r="81" spans="2:12" x14ac:dyDescent="0.2">
      <c r="B81" s="62" t="s">
        <v>183</v>
      </c>
      <c r="C81" s="175">
        <f>C80/C79</f>
        <v>0.29546803191180138</v>
      </c>
      <c r="D81" s="175">
        <f t="shared" ref="D81:E81" si="50">D80/D79</f>
        <v>0.30957180083863395</v>
      </c>
      <c r="E81" s="175">
        <f t="shared" si="50"/>
        <v>0.27865671821665583</v>
      </c>
      <c r="F81" s="175">
        <f t="shared" ref="F81:I81" si="51">F80/F79</f>
        <v>0.13849671606207808</v>
      </c>
      <c r="G81" s="175">
        <f t="shared" si="51"/>
        <v>7.7987584461193693E-2</v>
      </c>
      <c r="H81" s="175">
        <f t="shared" si="51"/>
        <v>0.50108952760574332</v>
      </c>
      <c r="I81" s="176">
        <f t="shared" si="51"/>
        <v>0.22494443678401443</v>
      </c>
      <c r="J81" s="228"/>
      <c r="K81" s="28"/>
    </row>
    <row r="82" spans="2:12" x14ac:dyDescent="0.2">
      <c r="B82" s="62" t="s">
        <v>246</v>
      </c>
      <c r="C82" s="129">
        <f>'Aramex Courier'!I12</f>
        <v>20147.1087077667</v>
      </c>
      <c r="D82" s="129"/>
      <c r="E82" s="129"/>
      <c r="F82" s="129">
        <f>'Aramex Freight'!I12</f>
        <v>23649.319294262499</v>
      </c>
      <c r="G82" s="129">
        <f>'Aramex Logistics'!I12</f>
        <v>-6206.9617033943396</v>
      </c>
      <c r="H82" s="129">
        <f>13315.9612230839*('2022 IR Data Book'!$A$5)</f>
        <v>13315.961223083899</v>
      </c>
      <c r="I82" s="129">
        <f>SUM(D82:H82)</f>
        <v>30758.318813952057</v>
      </c>
      <c r="J82" s="228"/>
      <c r="K82" s="28"/>
      <c r="L82" s="91"/>
    </row>
    <row r="83" spans="2:12" x14ac:dyDescent="0.2">
      <c r="B83" s="62" t="s">
        <v>186</v>
      </c>
      <c r="C83" s="175">
        <f>C82/C79</f>
        <v>2.2066077514301102E-2</v>
      </c>
      <c r="D83" s="175"/>
      <c r="E83" s="175"/>
      <c r="F83" s="175">
        <f t="shared" ref="F83:I83" si="52">F82/F79</f>
        <v>5.3805935605667723E-2</v>
      </c>
      <c r="G83" s="175">
        <f t="shared" si="52"/>
        <v>-5.6184557714996225E-2</v>
      </c>
      <c r="H83" s="175">
        <f t="shared" si="52"/>
        <v>-0.36195149650010849</v>
      </c>
      <c r="I83" s="176">
        <f t="shared" si="52"/>
        <v>2.156586104738575E-2</v>
      </c>
      <c r="J83" s="228"/>
      <c r="K83" s="28"/>
      <c r="L83" s="91"/>
    </row>
    <row r="84" spans="2:12" x14ac:dyDescent="0.2">
      <c r="B84" s="62" t="s">
        <v>187</v>
      </c>
      <c r="C84" s="174">
        <f>'Aramex Courier'!I14</f>
        <v>89569.411708715299</v>
      </c>
      <c r="D84" s="174"/>
      <c r="E84" s="174"/>
      <c r="F84" s="174">
        <f>'Aramex Freight'!I14</f>
        <v>31379.033934885902</v>
      </c>
      <c r="G84" s="174">
        <f>'Aramex Logistics'!I14</f>
        <v>14985.8032363457</v>
      </c>
      <c r="H84" s="174">
        <f>5420.97088348717*('2022 IR Data Book'!$A$5)</f>
        <v>5420.9708834871699</v>
      </c>
      <c r="I84" s="129">
        <f>SUM(D84:H84)</f>
        <v>51785.808054718771</v>
      </c>
      <c r="J84" s="228"/>
      <c r="K84" s="28"/>
      <c r="L84" s="91"/>
    </row>
    <row r="85" spans="2:12" x14ac:dyDescent="0.2">
      <c r="B85" s="130" t="s">
        <v>188</v>
      </c>
      <c r="C85" s="177">
        <f>C84/C79</f>
        <v>9.8100705681552297E-2</v>
      </c>
      <c r="D85" s="177"/>
      <c r="E85" s="177"/>
      <c r="F85" s="177">
        <f t="shared" ref="F85:I85" si="53">F84/F79</f>
        <v>7.13922569297014E-2</v>
      </c>
      <c r="G85" s="177">
        <f t="shared" si="53"/>
        <v>0.13564941545838796</v>
      </c>
      <c r="H85" s="177">
        <f t="shared" si="53"/>
        <v>-0.14735162493265949</v>
      </c>
      <c r="I85" s="177">
        <f t="shared" si="53"/>
        <v>3.6309056664958837E-2</v>
      </c>
      <c r="J85" s="228"/>
      <c r="K85" s="28"/>
    </row>
    <row r="87" spans="2:12" x14ac:dyDescent="0.2">
      <c r="C87" s="91"/>
      <c r="D87" s="91"/>
      <c r="E87" s="91"/>
      <c r="F87" s="91"/>
      <c r="G87" s="91"/>
      <c r="H87" s="91"/>
    </row>
    <row r="88" spans="2:12" x14ac:dyDescent="0.2">
      <c r="C88" s="91"/>
      <c r="D88" s="91"/>
      <c r="E88" s="91"/>
      <c r="F88" s="91"/>
      <c r="G88" s="91"/>
      <c r="H88" s="91"/>
    </row>
    <row r="89" spans="2:12" x14ac:dyDescent="0.2">
      <c r="C89" s="91"/>
      <c r="D89" s="91"/>
      <c r="E89" s="91"/>
      <c r="F89" s="91"/>
      <c r="G89" s="91"/>
      <c r="H89" s="91"/>
    </row>
    <row r="90" spans="2:12" x14ac:dyDescent="0.2">
      <c r="C90" s="91"/>
      <c r="D90" s="91"/>
      <c r="E90" s="91"/>
      <c r="F90" s="91"/>
      <c r="G90" s="91"/>
      <c r="H90" s="91"/>
    </row>
  </sheetData>
  <mergeCells count="11">
    <mergeCell ref="C5:I5"/>
    <mergeCell ref="L5:P5"/>
    <mergeCell ref="C18:I18"/>
    <mergeCell ref="L18:P18"/>
    <mergeCell ref="C31:I31"/>
    <mergeCell ref="L31:P31"/>
    <mergeCell ref="C77:I77"/>
    <mergeCell ref="C53:I53"/>
    <mergeCell ref="C65:I65"/>
    <mergeCell ref="C42:I42"/>
    <mergeCell ref="L42:P42"/>
  </mergeCells>
  <pageMargins left="0.7" right="0.7" top="0.75" bottom="0.75" header="0.3" footer="0.3"/>
  <pageSetup paperSize="9" orientation="portrait" r:id="rId1"/>
  <ignoredErrors>
    <ignoredError sqref="I9 P9:P11 P22:P24 P35:P37 P46:P48 I11"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61EF8-9002-483C-8197-1A5536EBCB44}">
  <dimension ref="A1:N35"/>
  <sheetViews>
    <sheetView showGridLines="0" workbookViewId="0">
      <selection activeCell="H10" sqref="H10"/>
    </sheetView>
  </sheetViews>
  <sheetFormatPr defaultColWidth="9.140625" defaultRowHeight="12.75" x14ac:dyDescent="0.2"/>
  <cols>
    <col min="1" max="1" width="5.42578125" style="1" customWidth="1"/>
    <col min="2" max="2" width="47.28515625" style="1" customWidth="1"/>
    <col min="3" max="5" width="10" style="1" bestFit="1" customWidth="1"/>
    <col min="6" max="7" width="12" style="1" customWidth="1"/>
    <col min="8" max="8" width="8.7109375" style="1" customWidth="1"/>
    <col min="9" max="9" width="39" style="1" bestFit="1" customWidth="1"/>
    <col min="10" max="10" width="9" style="1" bestFit="1" customWidth="1"/>
    <col min="11" max="11" width="9.5703125" style="1" bestFit="1" customWidth="1"/>
    <col min="12" max="12" width="10.140625" style="1" customWidth="1"/>
    <col min="13" max="13" width="9.140625" style="1"/>
    <col min="14" max="14" width="12" style="1" bestFit="1" customWidth="1"/>
    <col min="15" max="16384" width="9.140625" style="1"/>
  </cols>
  <sheetData>
    <row r="1" spans="1:14" x14ac:dyDescent="0.2">
      <c r="A1" s="179">
        <f>'2022 IR Data Book'!$A$5</f>
        <v>1</v>
      </c>
      <c r="C1" s="2"/>
      <c r="D1" s="2"/>
      <c r="E1" s="2"/>
      <c r="F1" s="2"/>
      <c r="G1" s="2"/>
    </row>
    <row r="2" spans="1:14" x14ac:dyDescent="0.2">
      <c r="B2" s="3" t="s">
        <v>250</v>
      </c>
      <c r="C2" s="4"/>
      <c r="D2" s="4"/>
      <c r="E2" s="4"/>
      <c r="F2" s="4"/>
      <c r="G2" s="4"/>
    </row>
    <row r="4" spans="1:14" ht="25.5" x14ac:dyDescent="0.2">
      <c r="B4" s="95" t="s">
        <v>245</v>
      </c>
      <c r="C4" s="96" t="s">
        <v>251</v>
      </c>
      <c r="D4" s="96" t="s">
        <v>252</v>
      </c>
      <c r="E4" s="96" t="s">
        <v>253</v>
      </c>
      <c r="F4" s="96" t="s">
        <v>254</v>
      </c>
      <c r="G4" s="97" t="s">
        <v>255</v>
      </c>
      <c r="I4" s="98" t="s">
        <v>256</v>
      </c>
      <c r="J4" s="99" t="s">
        <v>251</v>
      </c>
      <c r="K4" s="99" t="s">
        <v>252</v>
      </c>
      <c r="L4" s="99" t="s">
        <v>253</v>
      </c>
      <c r="M4" s="99" t="s">
        <v>254</v>
      </c>
      <c r="N4" s="100" t="s">
        <v>255</v>
      </c>
    </row>
    <row r="5" spans="1:14" x14ac:dyDescent="0.2">
      <c r="B5" s="15" t="s">
        <v>257</v>
      </c>
      <c r="C5" s="5">
        <f>C6+C7</f>
        <v>765789.83305916796</v>
      </c>
      <c r="D5" s="5">
        <f t="shared" ref="D5:F5" si="0">D6+D7</f>
        <v>789584.94244478003</v>
      </c>
      <c r="E5" s="5">
        <f t="shared" si="0"/>
        <v>796894.394521776</v>
      </c>
      <c r="F5" s="5">
        <f t="shared" si="0"/>
        <v>971738.25191043899</v>
      </c>
      <c r="G5" s="7">
        <f>SUM(C5:F5)</f>
        <v>3324007.4219361627</v>
      </c>
      <c r="I5" s="101" t="s">
        <v>258</v>
      </c>
      <c r="J5" s="102">
        <v>20</v>
      </c>
      <c r="K5" s="102">
        <v>20</v>
      </c>
      <c r="L5" s="102">
        <v>22</v>
      </c>
      <c r="M5" s="103">
        <v>25</v>
      </c>
      <c r="N5" s="104">
        <v>88</v>
      </c>
    </row>
    <row r="6" spans="1:14" x14ac:dyDescent="0.2">
      <c r="B6" s="17" t="s">
        <v>259</v>
      </c>
      <c r="C6" s="8">
        <f>500411.542893547*('2022 IR Data Book'!$A$5)</f>
        <v>500411.54289354698</v>
      </c>
      <c r="D6" s="8">
        <f>527816.532850836*('2022 IR Data Book'!$A$5)</f>
        <v>527816.53285083605</v>
      </c>
      <c r="E6" s="8">
        <f>542630.923505683*('2022 IR Data Book'!$A$5)</f>
        <v>542630.92350568296</v>
      </c>
      <c r="F6" s="9">
        <f>701828.936519285*('2022 IR Data Book'!$A$5)</f>
        <v>701828.93651928497</v>
      </c>
      <c r="G6" s="10">
        <f>SUM(C6:F6)</f>
        <v>2272687.9357693512</v>
      </c>
      <c r="I6" s="105" t="s">
        <v>260</v>
      </c>
      <c r="J6" s="106">
        <v>5</v>
      </c>
      <c r="K6" s="106">
        <v>5</v>
      </c>
      <c r="L6" s="106">
        <v>5</v>
      </c>
      <c r="M6" s="107">
        <v>6</v>
      </c>
      <c r="N6" s="108">
        <v>21</v>
      </c>
    </row>
    <row r="7" spans="1:14" x14ac:dyDescent="0.2">
      <c r="B7" s="18" t="s">
        <v>261</v>
      </c>
      <c r="C7" s="5">
        <f>265378.290165621*('2022 IR Data Book'!$A$5)</f>
        <v>265378.29016562097</v>
      </c>
      <c r="D7" s="5">
        <f>261768.409593944*('2022 IR Data Book'!$A$5)</f>
        <v>261768.409593944</v>
      </c>
      <c r="E7" s="5">
        <f>254263.471016093*('2022 IR Data Book'!$A$5)</f>
        <v>254263.47101609301</v>
      </c>
      <c r="F7" s="6">
        <f>269909.315391154*('2022 IR Data Book'!$A$5)</f>
        <v>269909.31539115403</v>
      </c>
      <c r="G7" s="11">
        <f t="shared" ref="G7" si="1">SUM(C7:F7)</f>
        <v>1051319.486166812</v>
      </c>
      <c r="I7" s="109" t="s">
        <v>262</v>
      </c>
      <c r="J7" s="110">
        <v>15</v>
      </c>
      <c r="K7" s="110">
        <v>15</v>
      </c>
      <c r="L7" s="110">
        <v>17</v>
      </c>
      <c r="M7" s="111">
        <v>19</v>
      </c>
      <c r="N7" s="112">
        <v>67</v>
      </c>
    </row>
    <row r="8" spans="1:14" x14ac:dyDescent="0.2">
      <c r="B8" s="16"/>
      <c r="C8" s="12"/>
      <c r="D8" s="12"/>
      <c r="E8" s="12"/>
      <c r="F8" s="12"/>
      <c r="G8" s="12"/>
      <c r="I8" s="16"/>
      <c r="J8" s="12"/>
      <c r="K8" s="12"/>
      <c r="L8" s="12"/>
      <c r="M8" s="12"/>
      <c r="N8" s="12"/>
    </row>
    <row r="9" spans="1:14" ht="25.5" x14ac:dyDescent="0.2">
      <c r="B9" s="95" t="s">
        <v>245</v>
      </c>
      <c r="C9" s="96" t="s">
        <v>263</v>
      </c>
      <c r="D9" s="96" t="s">
        <v>264</v>
      </c>
      <c r="E9" s="96" t="s">
        <v>265</v>
      </c>
      <c r="F9" s="96" t="s">
        <v>266</v>
      </c>
      <c r="G9" s="96" t="s">
        <v>267</v>
      </c>
      <c r="I9" s="98" t="s">
        <v>256</v>
      </c>
      <c r="J9" s="99" t="s">
        <v>263</v>
      </c>
      <c r="K9" s="99" t="s">
        <v>264</v>
      </c>
      <c r="L9" s="99" t="s">
        <v>265</v>
      </c>
      <c r="M9" s="99" t="s">
        <v>266</v>
      </c>
      <c r="N9" s="113" t="s">
        <v>267</v>
      </c>
    </row>
    <row r="10" spans="1:14" x14ac:dyDescent="0.2">
      <c r="B10" s="15" t="s">
        <v>257</v>
      </c>
      <c r="C10" s="5">
        <f>C11+C12</f>
        <v>789642.80461404799</v>
      </c>
      <c r="D10" s="5">
        <f t="shared" ref="D10:F10" si="2">D11+D12</f>
        <v>843529.30971220508</v>
      </c>
      <c r="E10" s="5">
        <f t="shared" si="2"/>
        <v>826897.60733428702</v>
      </c>
      <c r="F10" s="5">
        <f t="shared" si="2"/>
        <v>997389.02118452208</v>
      </c>
      <c r="G10" s="7">
        <f>SUM(C10:F10)</f>
        <v>3457458.7428450622</v>
      </c>
      <c r="I10" s="101" t="s">
        <v>258</v>
      </c>
      <c r="J10" s="114">
        <v>21</v>
      </c>
      <c r="K10" s="114">
        <v>23</v>
      </c>
      <c r="L10" s="114">
        <v>24</v>
      </c>
      <c r="M10" s="114">
        <v>29</v>
      </c>
      <c r="N10" s="115">
        <v>97</v>
      </c>
    </row>
    <row r="11" spans="1:14" x14ac:dyDescent="0.2">
      <c r="B11" s="17" t="s">
        <v>259</v>
      </c>
      <c r="C11" s="8">
        <f>533005.978333014*('2022 IR Data Book'!$A$5)</f>
        <v>533005.97833301395</v>
      </c>
      <c r="D11" s="8">
        <f>586348.531544673*('2022 IR Data Book'!$A$5)</f>
        <v>586348.53154467302</v>
      </c>
      <c r="E11" s="8">
        <f>556350.512051748*('2022 IR Data Book'!$A$5)</f>
        <v>556350.512051748</v>
      </c>
      <c r="F11" s="9">
        <f>673427.373818058*('2022 IR Data Book'!$A$5)</f>
        <v>673427.37381805805</v>
      </c>
      <c r="G11" s="10">
        <f>SUM(C11:F11)</f>
        <v>2349132.395747493</v>
      </c>
      <c r="I11" s="105" t="s">
        <v>260</v>
      </c>
      <c r="J11" s="106">
        <v>5</v>
      </c>
      <c r="K11" s="116">
        <v>6</v>
      </c>
      <c r="L11" s="116">
        <v>6</v>
      </c>
      <c r="M11" s="116">
        <v>7</v>
      </c>
      <c r="N11" s="117">
        <v>24</v>
      </c>
    </row>
    <row r="12" spans="1:14" x14ac:dyDescent="0.2">
      <c r="B12" s="18" t="s">
        <v>261</v>
      </c>
      <c r="C12" s="5">
        <f>256636.826281034*('2022 IR Data Book'!$A$5)</f>
        <v>256636.82628103401</v>
      </c>
      <c r="D12" s="5">
        <f>257180.778167532*('2022 IR Data Book'!$A$5)</f>
        <v>257180.778167532</v>
      </c>
      <c r="E12" s="5">
        <f>270547.095282539*('2022 IR Data Book'!$A$5)</f>
        <v>270547.09528253903</v>
      </c>
      <c r="F12" s="6">
        <f>323961.647366464*('2022 IR Data Book'!$A$5)</f>
        <v>323961.64736646402</v>
      </c>
      <c r="G12" s="11">
        <f t="shared" ref="G12" si="3">SUM(C12:F12)</f>
        <v>1108326.3470975691</v>
      </c>
      <c r="I12" s="109" t="s">
        <v>262</v>
      </c>
      <c r="J12" s="118">
        <v>16</v>
      </c>
      <c r="K12" s="118">
        <v>17</v>
      </c>
      <c r="L12" s="118">
        <v>18</v>
      </c>
      <c r="M12" s="118">
        <v>22</v>
      </c>
      <c r="N12" s="119">
        <v>73</v>
      </c>
    </row>
    <row r="13" spans="1:14" x14ac:dyDescent="0.2">
      <c r="B13" s="16"/>
      <c r="C13" s="12"/>
      <c r="D13" s="12"/>
      <c r="E13" s="12"/>
      <c r="F13" s="12"/>
      <c r="G13" s="12"/>
      <c r="I13" s="16"/>
      <c r="J13" s="12"/>
      <c r="K13" s="12"/>
      <c r="L13" s="12"/>
      <c r="M13" s="12"/>
      <c r="N13" s="12"/>
    </row>
    <row r="14" spans="1:14" ht="25.5" x14ac:dyDescent="0.2">
      <c r="B14" s="95" t="s">
        <v>245</v>
      </c>
      <c r="C14" s="96" t="s">
        <v>268</v>
      </c>
      <c r="D14" s="96" t="s">
        <v>269</v>
      </c>
      <c r="E14" s="96" t="s">
        <v>270</v>
      </c>
      <c r="F14" s="96" t="s">
        <v>271</v>
      </c>
      <c r="G14" s="96" t="s">
        <v>272</v>
      </c>
      <c r="I14" s="98" t="s">
        <v>256</v>
      </c>
      <c r="J14" s="99" t="s">
        <v>268</v>
      </c>
      <c r="K14" s="99" t="s">
        <v>269</v>
      </c>
      <c r="L14" s="99" t="s">
        <v>270</v>
      </c>
      <c r="M14" s="99" t="s">
        <v>271</v>
      </c>
      <c r="N14" s="113" t="s">
        <v>272</v>
      </c>
    </row>
    <row r="15" spans="1:14" x14ac:dyDescent="0.2">
      <c r="B15" s="15" t="s">
        <v>257</v>
      </c>
      <c r="C15" s="5">
        <f>C16+C17</f>
        <v>768414.06370854704</v>
      </c>
      <c r="D15" s="5">
        <f t="shared" ref="D15:F15" si="4">D16+D17</f>
        <v>918423.21058082604</v>
      </c>
      <c r="E15" s="5">
        <f t="shared" si="4"/>
        <v>1065472.356252905</v>
      </c>
      <c r="F15" s="5">
        <f t="shared" si="4"/>
        <v>1183087.843818913</v>
      </c>
      <c r="G15" s="7">
        <f>SUM(C15:F15)</f>
        <v>3935397.4743611915</v>
      </c>
      <c r="I15" s="101" t="s">
        <v>258</v>
      </c>
      <c r="J15" s="114">
        <v>24.89</v>
      </c>
      <c r="K15" s="114">
        <v>29</v>
      </c>
      <c r="L15" s="114">
        <v>32.616999999999997</v>
      </c>
      <c r="M15" s="114">
        <v>35</v>
      </c>
      <c r="N15" s="115">
        <v>121.50700000000001</v>
      </c>
    </row>
    <row r="16" spans="1:14" x14ac:dyDescent="0.2">
      <c r="B16" s="17" t="s">
        <v>259</v>
      </c>
      <c r="C16" s="8">
        <f>479423.365217863*('2022 IR Data Book'!$A$5)</f>
        <v>479423.365217863</v>
      </c>
      <c r="D16" s="8">
        <f>582164.588216127*('2022 IR Data Book'!$A$5)</f>
        <v>582164.58821612701</v>
      </c>
      <c r="E16" s="8">
        <f>715248.567909872*('2022 IR Data Book'!$A$5)</f>
        <v>715248.56790987204</v>
      </c>
      <c r="F16" s="9">
        <f>796492.326933316*('2022 IR Data Book'!$A$5)</f>
        <v>796492.32693331596</v>
      </c>
      <c r="G16" s="10">
        <f>SUM(C16:F16)</f>
        <v>2573328.8482771781</v>
      </c>
      <c r="I16" s="105" t="s">
        <v>260</v>
      </c>
      <c r="J16" s="116">
        <v>5.19</v>
      </c>
      <c r="K16" s="116">
        <v>6</v>
      </c>
      <c r="L16" s="116">
        <v>6.53</v>
      </c>
      <c r="M16" s="116">
        <v>7</v>
      </c>
      <c r="N16" s="117">
        <v>24.720000000000002</v>
      </c>
    </row>
    <row r="17" spans="2:14" x14ac:dyDescent="0.2">
      <c r="B17" s="18" t="s">
        <v>261</v>
      </c>
      <c r="C17" s="5">
        <f>288990.698490684*('2022 IR Data Book'!$A$5)</f>
        <v>288990.69849068398</v>
      </c>
      <c r="D17" s="5">
        <f>336258.622364699*('2022 IR Data Book'!$A$5)</f>
        <v>336258.62236469903</v>
      </c>
      <c r="E17" s="5">
        <f>350223.788343033*('2022 IR Data Book'!$A$5)</f>
        <v>350223.788343033</v>
      </c>
      <c r="F17" s="6">
        <f>386595.516885597*('2022 IR Data Book'!$A$5)</f>
        <v>386595.51688559703</v>
      </c>
      <c r="G17" s="11">
        <f t="shared" ref="G17" si="5">SUM(C17:F17)</f>
        <v>1362068.6260840131</v>
      </c>
      <c r="I17" s="109" t="s">
        <v>262</v>
      </c>
      <c r="J17" s="118">
        <v>19.7</v>
      </c>
      <c r="K17" s="118">
        <v>23</v>
      </c>
      <c r="L17" s="118">
        <v>26.087</v>
      </c>
      <c r="M17" s="118">
        <v>28</v>
      </c>
      <c r="N17" s="120">
        <v>96.787000000000006</v>
      </c>
    </row>
    <row r="18" spans="2:14" x14ac:dyDescent="0.2">
      <c r="B18" s="16"/>
      <c r="C18" s="12"/>
      <c r="D18" s="12"/>
      <c r="E18" s="12"/>
      <c r="F18" s="12"/>
      <c r="G18" s="12"/>
      <c r="I18" s="16"/>
      <c r="J18" s="12"/>
      <c r="K18" s="12"/>
      <c r="L18" s="12"/>
      <c r="M18" s="12"/>
      <c r="N18" s="12"/>
    </row>
    <row r="19" spans="2:14" ht="25.5" x14ac:dyDescent="0.2">
      <c r="B19" s="95" t="s">
        <v>245</v>
      </c>
      <c r="C19" s="96" t="s">
        <v>273</v>
      </c>
      <c r="D19" s="96" t="s">
        <v>274</v>
      </c>
      <c r="E19" s="96" t="s">
        <v>275</v>
      </c>
      <c r="F19" s="96" t="s">
        <v>276</v>
      </c>
      <c r="G19" s="96" t="s">
        <v>277</v>
      </c>
      <c r="I19" s="98" t="s">
        <v>256</v>
      </c>
      <c r="J19" s="99" t="s">
        <v>273</v>
      </c>
      <c r="K19" s="99" t="s">
        <v>274</v>
      </c>
      <c r="L19" s="99" t="s">
        <v>275</v>
      </c>
      <c r="M19" s="99" t="s">
        <v>276</v>
      </c>
      <c r="N19" s="113" t="s">
        <v>277</v>
      </c>
    </row>
    <row r="20" spans="2:14" x14ac:dyDescent="0.2">
      <c r="B20" s="15" t="s">
        <v>257</v>
      </c>
      <c r="C20" s="5">
        <f>C21+C22</f>
        <v>1002142.150091229</v>
      </c>
      <c r="D20" s="5">
        <f t="shared" ref="D20:F20" si="6">D21+D22</f>
        <v>1100781.4666448091</v>
      </c>
      <c r="E20" s="5">
        <f t="shared" si="6"/>
        <v>1069651.7573773921</v>
      </c>
      <c r="F20" s="5">
        <f t="shared" si="6"/>
        <v>1043643.7088922281</v>
      </c>
      <c r="G20" s="7">
        <f>SUM(C20:F20)</f>
        <v>4216219.0830056584</v>
      </c>
      <c r="I20" s="101" t="s">
        <v>258</v>
      </c>
      <c r="J20" s="114">
        <v>31.46</v>
      </c>
      <c r="K20" s="114">
        <v>33</v>
      </c>
      <c r="L20" s="114">
        <v>33.9</v>
      </c>
      <c r="M20" s="114">
        <v>35.489339000000001</v>
      </c>
      <c r="N20" s="115">
        <v>133.84933899999999</v>
      </c>
    </row>
    <row r="21" spans="2:14" x14ac:dyDescent="0.2">
      <c r="B21" s="17" t="s">
        <v>259</v>
      </c>
      <c r="C21" s="8">
        <f>646524.386045871*('2022 IR Data Book'!$A$5)</f>
        <v>646524.38604587095</v>
      </c>
      <c r="D21" s="8">
        <f>733555.542145953*('2022 IR Data Book'!$A$5)</f>
        <v>733555.54214595305</v>
      </c>
      <c r="E21" s="8">
        <f>608876.826084214*('2022 IR Data Book'!$A$5)</f>
        <v>608876.82608421403</v>
      </c>
      <c r="F21" s="9">
        <f>671392.92795456*('2022 IR Data Book'!$A$5)</f>
        <v>671392.92795456003</v>
      </c>
      <c r="G21" s="10">
        <f>SUM(C21:F21)</f>
        <v>2660349.6822305978</v>
      </c>
      <c r="I21" s="105" t="s">
        <v>260</v>
      </c>
      <c r="J21" s="116">
        <v>6.2</v>
      </c>
      <c r="K21" s="116">
        <v>7.2</v>
      </c>
      <c r="L21" s="116">
        <v>6.3</v>
      </c>
      <c r="M21" s="121">
        <v>6.0524940000000003</v>
      </c>
      <c r="N21" s="122">
        <v>25.752493999999999</v>
      </c>
    </row>
    <row r="22" spans="2:14" x14ac:dyDescent="0.2">
      <c r="B22" s="18" t="s">
        <v>261</v>
      </c>
      <c r="C22" s="5">
        <f>355617.764045358*('2022 IR Data Book'!$A$5)</f>
        <v>355617.764045358</v>
      </c>
      <c r="D22" s="5">
        <f>367225.924498856*('2022 IR Data Book'!$A$5)</f>
        <v>367225.92449885601</v>
      </c>
      <c r="E22" s="5">
        <f>460774.931293178*('2022 IR Data Book'!$A$5)</f>
        <v>460774.931293178</v>
      </c>
      <c r="F22" s="6">
        <f>372250.780937668*('2022 IR Data Book'!$A$5)</f>
        <v>372250.78093766799</v>
      </c>
      <c r="G22" s="11">
        <f t="shared" ref="G22" si="7">SUM(C22:F22)</f>
        <v>1555869.4007750601</v>
      </c>
      <c r="I22" s="109" t="s">
        <v>262</v>
      </c>
      <c r="J22" s="118">
        <v>25.26</v>
      </c>
      <c r="K22" s="118">
        <v>25.8</v>
      </c>
      <c r="L22" s="123">
        <v>27.6</v>
      </c>
      <c r="M22" s="124">
        <v>29.436845000000002</v>
      </c>
      <c r="N22" s="120">
        <v>108.096845</v>
      </c>
    </row>
    <row r="23" spans="2:14" x14ac:dyDescent="0.2">
      <c r="B23" s="16"/>
      <c r="C23" s="12"/>
      <c r="D23" s="12"/>
      <c r="E23" s="12"/>
      <c r="F23" s="12"/>
      <c r="G23" s="12"/>
      <c r="I23" s="16"/>
      <c r="J23" s="12"/>
      <c r="K23" s="12"/>
      <c r="L23" s="12"/>
      <c r="M23" s="12"/>
      <c r="N23" s="12"/>
    </row>
    <row r="24" spans="2:14" x14ac:dyDescent="0.2">
      <c r="B24" s="95" t="s">
        <v>245</v>
      </c>
      <c r="C24" s="96" t="s">
        <v>278</v>
      </c>
      <c r="D24" s="96" t="s">
        <v>279</v>
      </c>
      <c r="E24" s="96" t="s">
        <v>280</v>
      </c>
      <c r="F24" s="96" t="s">
        <v>281</v>
      </c>
      <c r="G24" s="96" t="s">
        <v>282</v>
      </c>
      <c r="I24" s="98" t="s">
        <v>256</v>
      </c>
      <c r="J24" s="99" t="s">
        <v>278</v>
      </c>
      <c r="K24" s="99" t="s">
        <v>279</v>
      </c>
      <c r="L24" s="99" t="s">
        <v>280</v>
      </c>
      <c r="M24" s="99" t="s">
        <v>281</v>
      </c>
      <c r="N24" s="113" t="s">
        <v>282</v>
      </c>
    </row>
    <row r="25" spans="2:14" x14ac:dyDescent="0.2">
      <c r="B25" s="15" t="s">
        <v>257</v>
      </c>
      <c r="C25" s="5">
        <f>C26+C27</f>
        <v>911091.91866910702</v>
      </c>
      <c r="D25" s="5">
        <f t="shared" ref="D25:F25" si="8">D26+D27</f>
        <v>936163.10178239096</v>
      </c>
      <c r="E25" s="5">
        <f t="shared" si="8"/>
        <v>913035.3468056561</v>
      </c>
      <c r="F25" s="5">
        <f t="shared" si="8"/>
        <v>0</v>
      </c>
      <c r="G25" s="7">
        <f>SUM(C25:F25)</f>
        <v>2760290.3672571541</v>
      </c>
      <c r="I25" s="101" t="s">
        <v>258</v>
      </c>
      <c r="J25" s="114">
        <f>J26+J27</f>
        <v>30.348113000000001</v>
      </c>
      <c r="K25" s="114">
        <f>K26+K27</f>
        <v>30.031293999999999</v>
      </c>
      <c r="L25" s="114">
        <f>L26+L27</f>
        <v>29.605456</v>
      </c>
      <c r="M25" s="114">
        <f t="shared" ref="M25:N25" si="9">M26+M27</f>
        <v>0</v>
      </c>
      <c r="N25" s="114">
        <f t="shared" si="9"/>
        <v>0</v>
      </c>
    </row>
    <row r="26" spans="2:14" x14ac:dyDescent="0.2">
      <c r="B26" s="17" t="s">
        <v>259</v>
      </c>
      <c r="C26" s="8">
        <f>557745.393557364*('2022 IR Data Book'!$A$5)</f>
        <v>557745.393557364</v>
      </c>
      <c r="D26" s="8">
        <f>587090.845982728*('2022 IR Data Book'!$A$5)</f>
        <v>587090.84598272794</v>
      </c>
      <c r="E26" s="8">
        <f>496499.899981158*('2022 IR Data Book'!$A$5)</f>
        <v>496499.89998115803</v>
      </c>
      <c r="F26" s="9">
        <f>0*('2022 IR Data Book'!$A$5)</f>
        <v>0</v>
      </c>
      <c r="G26" s="10">
        <f>SUM(C26:F26)</f>
        <v>1641336.13952125</v>
      </c>
      <c r="I26" s="105" t="s">
        <v>260</v>
      </c>
      <c r="J26" s="116">
        <v>5.3397690000000004</v>
      </c>
      <c r="K26" s="116">
        <v>5.9301339999999998</v>
      </c>
      <c r="L26" s="116">
        <f>'Regional Breakdown'!C210/1000000</f>
        <v>5.1237760000000003</v>
      </c>
      <c r="M26" s="121"/>
      <c r="N26" s="122"/>
    </row>
    <row r="27" spans="2:14" x14ac:dyDescent="0.2">
      <c r="B27" s="18" t="s">
        <v>261</v>
      </c>
      <c r="C27" s="5">
        <f>353346.525111743*('2022 IR Data Book'!$A$5)</f>
        <v>353346.52511174302</v>
      </c>
      <c r="D27" s="5">
        <f>349072.255799663*('2022 IR Data Book'!$A$5)</f>
        <v>349072.25579966302</v>
      </c>
      <c r="E27" s="5">
        <f>416535.446824498*('2022 IR Data Book'!$A$5)</f>
        <v>416535.44682449801</v>
      </c>
      <c r="F27" s="6">
        <f>0*('2022 IR Data Book'!$A$5)</f>
        <v>0</v>
      </c>
      <c r="G27" s="11">
        <f t="shared" ref="G27" si="10">SUM(C27:F27)</f>
        <v>1118954.227735904</v>
      </c>
      <c r="H27" s="4"/>
      <c r="I27" s="109" t="s">
        <v>262</v>
      </c>
      <c r="J27" s="118">
        <v>25.008344000000001</v>
      </c>
      <c r="K27" s="118">
        <v>24.10116</v>
      </c>
      <c r="L27" s="123">
        <f>'Regional Breakdown'!C209/1000000</f>
        <v>24.481680000000001</v>
      </c>
      <c r="M27" s="124"/>
      <c r="N27" s="124"/>
    </row>
    <row r="31" spans="2:14" x14ac:dyDescent="0.2">
      <c r="C31" s="4"/>
      <c r="D31" s="4"/>
      <c r="E31" s="4"/>
      <c r="F31" s="4"/>
      <c r="G31" s="4"/>
    </row>
    <row r="32" spans="2:14" x14ac:dyDescent="0.2">
      <c r="C32" s="4"/>
      <c r="D32" s="4"/>
    </row>
    <row r="34" spans="3:4" x14ac:dyDescent="0.2">
      <c r="C34" s="4"/>
      <c r="D34" s="4"/>
    </row>
    <row r="35" spans="3:4" x14ac:dyDescent="0.2">
      <c r="C35" s="4"/>
      <c r="D35"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3B09D-8F59-4687-B8D2-95A4C8FAC1C0}">
  <dimension ref="B4:B17"/>
  <sheetViews>
    <sheetView showGridLines="0" workbookViewId="0">
      <selection activeCell="L27" sqref="L27"/>
    </sheetView>
  </sheetViews>
  <sheetFormatPr defaultRowHeight="12.75" x14ac:dyDescent="0.2"/>
  <cols>
    <col min="1" max="1" width="9.140625" style="20"/>
    <col min="2" max="2" width="9.140625" style="184"/>
    <col min="3" max="16384" width="9.140625" style="20"/>
  </cols>
  <sheetData>
    <row r="4" spans="2:2" x14ac:dyDescent="0.2">
      <c r="B4" s="183" t="s">
        <v>9</v>
      </c>
    </row>
    <row r="5" spans="2:2" x14ac:dyDescent="0.2">
      <c r="B5" s="184" t="s">
        <v>292</v>
      </c>
    </row>
    <row r="8" spans="2:2" x14ac:dyDescent="0.2">
      <c r="B8" s="19" t="s">
        <v>10</v>
      </c>
    </row>
    <row r="9" spans="2:2" x14ac:dyDescent="0.2">
      <c r="B9" s="19" t="s">
        <v>11</v>
      </c>
    </row>
    <row r="10" spans="2:2" x14ac:dyDescent="0.2">
      <c r="B10" s="19" t="s">
        <v>12</v>
      </c>
    </row>
    <row r="11" spans="2:2" x14ac:dyDescent="0.2">
      <c r="B11" s="19" t="s">
        <v>13</v>
      </c>
    </row>
    <row r="12" spans="2:2" x14ac:dyDescent="0.2">
      <c r="B12" s="185" t="s">
        <v>14</v>
      </c>
    </row>
    <row r="13" spans="2:2" x14ac:dyDescent="0.2">
      <c r="B13" s="185" t="s">
        <v>15</v>
      </c>
    </row>
    <row r="14" spans="2:2" x14ac:dyDescent="0.2">
      <c r="B14" s="19" t="s">
        <v>16</v>
      </c>
    </row>
    <row r="15" spans="2:2" x14ac:dyDescent="0.2">
      <c r="B15" s="185" t="s">
        <v>17</v>
      </c>
    </row>
    <row r="16" spans="2:2" x14ac:dyDescent="0.2">
      <c r="B16" s="185" t="s">
        <v>18</v>
      </c>
    </row>
    <row r="17" spans="2:2" x14ac:dyDescent="0.2">
      <c r="B17" s="185" t="s">
        <v>19</v>
      </c>
    </row>
  </sheetData>
  <hyperlinks>
    <hyperlink ref="B8" location="'Group Profit &amp; Loss Stm'!A1" display="Income Statement" xr:uid="{5E77029C-D4B0-46F2-A567-1DDA09D60EFD}"/>
    <hyperlink ref="B9" location="'Group Balance Sheet'!A1" display="Balance Sheet" xr:uid="{EF42CBB8-3361-49C5-8312-EE6A036945FA}"/>
    <hyperlink ref="B10" location="'Group CF and CAPEX'!A1" display="Cashflow and Capex " xr:uid="{EFB99A7D-2BF4-47E8-AA75-A43E5A1E2DEA}"/>
    <hyperlink ref="B11" location="'Aramex Courier'!A1" display="Aramex Courier Product " xr:uid="{B2EF911D-3C6D-4DFB-86FC-BDFE2AD5BD16}"/>
    <hyperlink ref="B12" location="'Aramex Freight'!A1" display="Aramex Freight Product" xr:uid="{5E637270-6392-4993-A721-9CFED8ECAA03}"/>
    <hyperlink ref="B13" location="'Aramex Logistics'!A1" display="Aramex Logistics Product" xr:uid="{2C25CBA1-856C-49A6-BAC4-242B1B96DE49}"/>
    <hyperlink ref="B14" location="'Regional Breakdown'!A1" display="Regional Breakdown" xr:uid="{F61F82BE-0B45-4964-AAF8-19A0A950DC76}"/>
    <hyperlink ref="B15" location="'GP Recflassification'!A1" display="GP Reclassification 2020 " xr:uid="{12AE498F-2996-4330-9F2A-358940DA04DA}"/>
    <hyperlink ref="B16" location="Historic_Product_Breakdown!A1" display="Historic Product Breakdown Key Financials" xr:uid="{49083360-0C32-490F-B6A2-1F03951C06F7}"/>
    <hyperlink ref="B17" location="'Historic Express Rev_Vol_ Data'!A1" display="Historic Express Volume Data " xr:uid="{5C361A7C-BA0D-4CA0-85CC-C88649AD6A8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72C2E-26A6-42AF-B17B-CE7FE55CFB4A}">
  <dimension ref="A1:R49"/>
  <sheetViews>
    <sheetView showGridLines="0" tabSelected="1" workbookViewId="0">
      <pane xSplit="2" ySplit="7" topLeftCell="C22" activePane="bottomRight" state="frozen"/>
      <selection pane="topRight" activeCell="C1" sqref="C1"/>
      <selection pane="bottomLeft" activeCell="A8" sqref="A8"/>
      <selection pane="bottomRight" activeCell="E3" sqref="E3"/>
    </sheetView>
  </sheetViews>
  <sheetFormatPr defaultRowHeight="12.75" x14ac:dyDescent="0.2"/>
  <cols>
    <col min="1" max="1" width="4.85546875" style="20" customWidth="1"/>
    <col min="2" max="2" width="66.85546875" style="20" customWidth="1"/>
    <col min="3" max="5" width="10" style="20" bestFit="1" customWidth="1"/>
    <col min="6" max="6" width="10" style="20" customWidth="1"/>
    <col min="7" max="10" width="10" style="20" bestFit="1" customWidth="1"/>
    <col min="11" max="11" width="14.7109375" style="20" customWidth="1"/>
    <col min="12" max="12" width="11.140625" style="20" customWidth="1"/>
    <col min="13" max="13" width="15.5703125" style="20" customWidth="1"/>
    <col min="14" max="14" width="6.85546875" style="20" bestFit="1" customWidth="1"/>
    <col min="15" max="15" width="9.140625" style="20"/>
    <col min="16" max="16" width="11.7109375" style="20" bestFit="1" customWidth="1"/>
    <col min="17" max="16384" width="9.140625" style="20"/>
  </cols>
  <sheetData>
    <row r="1" spans="1:17" x14ac:dyDescent="0.2">
      <c r="A1" s="180">
        <f>'2022 IR Data Book'!$A$5</f>
        <v>1</v>
      </c>
    </row>
    <row r="3" spans="1:17" ht="15.75" x14ac:dyDescent="0.25">
      <c r="B3" s="138" t="s">
        <v>20</v>
      </c>
    </row>
    <row r="5" spans="1:17" x14ac:dyDescent="0.2">
      <c r="B5" s="132" t="s">
        <v>21</v>
      </c>
      <c r="C5" s="133"/>
      <c r="D5" s="133"/>
      <c r="E5" s="133"/>
      <c r="F5" s="133"/>
      <c r="G5" s="133"/>
      <c r="H5" s="133"/>
      <c r="I5" s="133"/>
      <c r="J5" s="133"/>
      <c r="K5" s="252" t="s">
        <v>22</v>
      </c>
      <c r="L5" s="252"/>
      <c r="M5" s="252"/>
      <c r="N5" s="252"/>
    </row>
    <row r="6" spans="1:17" ht="25.5" x14ac:dyDescent="0.2">
      <c r="B6" s="134"/>
      <c r="C6" s="135" t="s">
        <v>23</v>
      </c>
      <c r="D6" s="135" t="s">
        <v>24</v>
      </c>
      <c r="E6" s="135" t="s">
        <v>25</v>
      </c>
      <c r="F6" s="135" t="s">
        <v>26</v>
      </c>
      <c r="G6" s="135" t="s">
        <v>27</v>
      </c>
      <c r="H6" s="135" t="s">
        <v>28</v>
      </c>
      <c r="I6" s="135" t="s">
        <v>29</v>
      </c>
      <c r="J6" s="135" t="s">
        <v>283</v>
      </c>
      <c r="K6" s="136" t="s">
        <v>284</v>
      </c>
      <c r="L6" s="135" t="s">
        <v>30</v>
      </c>
      <c r="M6" s="136" t="s">
        <v>291</v>
      </c>
      <c r="N6" s="135" t="s">
        <v>30</v>
      </c>
    </row>
    <row r="7" spans="1:17" ht="15" x14ac:dyDescent="0.25">
      <c r="B7" s="21" t="s">
        <v>31</v>
      </c>
    </row>
    <row r="8" spans="1:17" x14ac:dyDescent="0.2">
      <c r="B8" s="22" t="s">
        <v>32</v>
      </c>
      <c r="C8" s="28">
        <f>((1424933))*('2022 IR Data Book'!$A$5)</f>
        <v>1424933</v>
      </c>
      <c r="D8" s="28">
        <f>(1570923)*('2022 IR Data Book'!$A$5)</f>
        <v>1570923</v>
      </c>
      <c r="E8" s="28">
        <f>(1461404)*('2022 IR Data Book'!$A$5)</f>
        <v>1461404</v>
      </c>
      <c r="F8" s="28">
        <f>G8-C8-D8-E8</f>
        <v>1611545</v>
      </c>
      <c r="G8" s="28">
        <f>(6068805)*('2022 IR Data Book'!$A$5)</f>
        <v>6068805</v>
      </c>
      <c r="H8" s="28">
        <f>(1448931.82909692)*('2022 IR Data Book'!$A$5)</f>
        <v>1448931.8290969201</v>
      </c>
      <c r="I8" s="28">
        <f>(1516588.75107447)*('2022 IR Data Book'!$A$5)</f>
        <v>1516588.7510744701</v>
      </c>
      <c r="J8" s="28">
        <f>1426250.44629083*('2022 IR Data Book'!$A$5)</f>
        <v>1426250.4462908299</v>
      </c>
      <c r="K8" s="28">
        <f>J8-E8</f>
        <v>-35153.553709170083</v>
      </c>
      <c r="L8" s="32">
        <f>K8/E8</f>
        <v>-2.4054644512516786E-2</v>
      </c>
      <c r="M8" s="28">
        <f>(H8+I8+J8)-(C8+D8+E8)</f>
        <v>-65488.973537779413</v>
      </c>
      <c r="N8" s="32">
        <f>M8/(C8+D8+E8)</f>
        <v>-1.4692652781704323E-2</v>
      </c>
    </row>
    <row r="9" spans="1:17" x14ac:dyDescent="0.2">
      <c r="B9" s="22" t="s">
        <v>33</v>
      </c>
      <c r="C9" s="28">
        <f>-1066286*('2022 IR Data Book'!$A$5)</f>
        <v>-1066286</v>
      </c>
      <c r="D9" s="28">
        <f>-1182258*('2022 IR Data Book'!$A$5)</f>
        <v>-1182258</v>
      </c>
      <c r="E9" s="28">
        <f>-1105324*('2022 IR Data Book'!$A$5)</f>
        <v>-1105324</v>
      </c>
      <c r="F9" s="28">
        <f>G9-C9-D9-E9</f>
        <v>-1284070</v>
      </c>
      <c r="G9" s="28">
        <f>(-4637938)*('2022 IR Data Book'!$A$5)</f>
        <v>-4637938</v>
      </c>
      <c r="H9" s="28">
        <f>-1104831.60806885*('2022 IR Data Book'!$A$5)</f>
        <v>-1104831.6080688499</v>
      </c>
      <c r="I9" s="28">
        <f>-1137965.97137327*('2022 IR Data Book'!$A$5)</f>
        <v>-1137965.97137327</v>
      </c>
      <c r="J9" s="28">
        <f>-1105423.3538419*('2022 IR Data Book'!$A$5)</f>
        <v>-1105423.3538418999</v>
      </c>
      <c r="K9" s="36">
        <f>J9-E9</f>
        <v>-99.353841899894178</v>
      </c>
      <c r="L9" s="37">
        <f>-K9/E9</f>
        <v>-8.9886623198170111E-5</v>
      </c>
      <c r="M9" s="36">
        <f>(H9+I9+J9)-(C9+D9+E9)</f>
        <v>5647.0667159799486</v>
      </c>
      <c r="N9" s="37">
        <f>M9/(C9+D9+E9)</f>
        <v>-1.6837474569601275E-3</v>
      </c>
    </row>
    <row r="10" spans="1:17" x14ac:dyDescent="0.2">
      <c r="B10" s="23" t="s">
        <v>34</v>
      </c>
      <c r="C10" s="29">
        <f>C8+C9</f>
        <v>358647</v>
      </c>
      <c r="D10" s="29">
        <f>D8+D9</f>
        <v>388665</v>
      </c>
      <c r="E10" s="29">
        <f t="shared" ref="E10:G10" si="0">E8+E9</f>
        <v>356080</v>
      </c>
      <c r="F10" s="29">
        <f t="shared" si="0"/>
        <v>327475</v>
      </c>
      <c r="G10" s="29">
        <f t="shared" si="0"/>
        <v>1430867</v>
      </c>
      <c r="H10" s="29">
        <f>H8+H9</f>
        <v>344100.2210280702</v>
      </c>
      <c r="I10" s="29">
        <f>I8+I9</f>
        <v>378622.77970120008</v>
      </c>
      <c r="J10" s="29">
        <f>J8+J9</f>
        <v>320827.09244893002</v>
      </c>
      <c r="K10" s="28">
        <f t="shared" ref="K10:K14" si="1">J10-E10</f>
        <v>-35252.907551069977</v>
      </c>
      <c r="L10" s="32">
        <f>K10/E10</f>
        <v>-9.9002773396624291E-2</v>
      </c>
      <c r="M10" s="28">
        <f t="shared" ref="M10:M15" si="2">(H10+I10+J10)-(C10+D10+E10)</f>
        <v>-59841.906821799697</v>
      </c>
      <c r="N10" s="32">
        <f t="shared" ref="N10:N15" si="3">M10/(C10+D10+E10)</f>
        <v>-5.4234494016450814E-2</v>
      </c>
    </row>
    <row r="11" spans="1:17" x14ac:dyDescent="0.2">
      <c r="B11" s="22" t="s">
        <v>35</v>
      </c>
      <c r="C11" s="28">
        <f>-67400*('2022 IR Data Book'!$A$5)</f>
        <v>-67400</v>
      </c>
      <c r="D11" s="28">
        <f>-77114*('2022 IR Data Book'!$A$5)</f>
        <v>-77114</v>
      </c>
      <c r="E11" s="28">
        <f>-62964*('2022 IR Data Book'!$A$5)</f>
        <v>-62964</v>
      </c>
      <c r="F11" s="28">
        <f t="shared" ref="F11:F14" si="4">G11-C11-D11-E11</f>
        <v>-65030</v>
      </c>
      <c r="G11" s="28">
        <f>(-272508)*('2022 IR Data Book'!$A$5)</f>
        <v>-272508</v>
      </c>
      <c r="H11" s="28">
        <f>-58785.3492673848*('2022 IR Data Book'!$A$5)</f>
        <v>-58785.349267384801</v>
      </c>
      <c r="I11" s="28">
        <f>-65139.864353484*('2022 IR Data Book'!$A$5)</f>
        <v>-65139.864353484001</v>
      </c>
      <c r="J11" s="28">
        <f>-62179.9677381306*('2022 IR Data Book'!$A$5)</f>
        <v>-62179.967738130603</v>
      </c>
      <c r="K11" s="28">
        <f t="shared" si="1"/>
        <v>784.03226186939719</v>
      </c>
      <c r="L11" s="32">
        <f>-K11/E11</f>
        <v>1.2452072007327952E-2</v>
      </c>
      <c r="M11" s="28">
        <f t="shared" si="2"/>
        <v>21372.818641000602</v>
      </c>
      <c r="N11" s="32">
        <f t="shared" si="3"/>
        <v>-0.10301245742199464</v>
      </c>
    </row>
    <row r="12" spans="1:17" x14ac:dyDescent="0.2">
      <c r="B12" s="24" t="s">
        <v>36</v>
      </c>
      <c r="C12" s="28">
        <f>-3646*('2022 IR Data Book'!$A$5)</f>
        <v>-3646</v>
      </c>
      <c r="D12" s="28">
        <f>-5016*('2022 IR Data Book'!$A$5)</f>
        <v>-5016</v>
      </c>
      <c r="E12" s="28">
        <f>-6363*('2022 IR Data Book'!$A$5)</f>
        <v>-6363</v>
      </c>
      <c r="F12" s="28">
        <f t="shared" si="4"/>
        <v>-1522</v>
      </c>
      <c r="G12" s="28">
        <f>(-15635-912)*('2022 IR Data Book'!$A$5)</f>
        <v>-16547</v>
      </c>
      <c r="H12" s="28">
        <f>-4547.01664062866*('2022 IR Data Book'!$A$5)</f>
        <v>-4547.0166406286598</v>
      </c>
      <c r="I12" s="28">
        <f>-4758.01804787734*('2022 IR Data Book'!$A$5)</f>
        <v>-4758.01804787734</v>
      </c>
      <c r="J12" s="28">
        <f>-4518.9367594406*('2022 IR Data Book'!$A$5)</f>
        <v>-4518.9367594406003</v>
      </c>
      <c r="K12" s="28">
        <f t="shared" si="1"/>
        <v>1844.0632405593997</v>
      </c>
      <c r="L12" s="32">
        <f>-K12/E12</f>
        <v>0.28981034740836076</v>
      </c>
      <c r="M12" s="28">
        <f t="shared" si="2"/>
        <v>1201.0285520534017</v>
      </c>
      <c r="N12" s="32">
        <f t="shared" si="3"/>
        <v>-7.9935344562622412E-2</v>
      </c>
      <c r="P12" s="28"/>
      <c r="Q12" s="28"/>
    </row>
    <row r="13" spans="1:17" x14ac:dyDescent="0.2">
      <c r="B13" s="24" t="s">
        <v>37</v>
      </c>
      <c r="C13" s="28">
        <f>-216289*('2022 IR Data Book'!$A$5)</f>
        <v>-216289</v>
      </c>
      <c r="D13" s="28">
        <f>-213497*('2022 IR Data Book'!$A$5)</f>
        <v>-213497</v>
      </c>
      <c r="E13" s="28">
        <f>-220767*('2022 IR Data Book'!$A$5)</f>
        <v>-220767</v>
      </c>
      <c r="F13" s="28">
        <f t="shared" si="4"/>
        <v>-237101</v>
      </c>
      <c r="G13" s="28">
        <f>-887654*('2022 IR Data Book'!$A$5)</f>
        <v>-887654</v>
      </c>
      <c r="H13" s="28">
        <f>-214112.877240882*('2022 IR Data Book'!$A$5)</f>
        <v>-214112.87724088199</v>
      </c>
      <c r="I13" s="28">
        <f>-234187.438032882*('2022 IR Data Book'!$A$5)</f>
        <v>-234187.438032882</v>
      </c>
      <c r="J13" s="28">
        <f>-213023.336177279*('2022 IR Data Book'!$A$5)</f>
        <v>-213023.33617727901</v>
      </c>
      <c r="K13" s="28">
        <f t="shared" si="1"/>
        <v>7743.6638227209914</v>
      </c>
      <c r="L13" s="32">
        <f>-K13/E13</f>
        <v>3.5076183590486767E-2</v>
      </c>
      <c r="M13" s="28">
        <f t="shared" si="2"/>
        <v>-10770.65145104297</v>
      </c>
      <c r="N13" s="32">
        <f t="shared" si="3"/>
        <v>1.6556147540696869E-2</v>
      </c>
      <c r="P13" s="28"/>
      <c r="Q13" s="28"/>
    </row>
    <row r="14" spans="1:17" x14ac:dyDescent="0.2">
      <c r="B14" s="20" t="s">
        <v>38</v>
      </c>
      <c r="C14" s="28">
        <f>0*('2022 IR Data Book'!$A$5)</f>
        <v>0</v>
      </c>
      <c r="D14" s="28">
        <f>0*('2022 IR Data Book'!$A$5)</f>
        <v>0</v>
      </c>
      <c r="E14" s="28">
        <f>6611*('2022 IR Data Book'!$A$5)</f>
        <v>6611</v>
      </c>
      <c r="F14" s="28">
        <f t="shared" si="4"/>
        <v>27056</v>
      </c>
      <c r="G14" s="28">
        <f>33667*('2022 IR Data Book'!$A$5)</f>
        <v>33667</v>
      </c>
      <c r="H14" s="28">
        <f>0*('2022 IR Data Book'!$A$5)</f>
        <v>0</v>
      </c>
      <c r="I14" s="28">
        <f>0*('2022 IR Data Book'!$A$5)</f>
        <v>0</v>
      </c>
      <c r="J14" s="28">
        <v>0</v>
      </c>
      <c r="K14" s="28">
        <f t="shared" si="1"/>
        <v>-6611</v>
      </c>
      <c r="L14" s="32">
        <f>-K14/E14</f>
        <v>1</v>
      </c>
      <c r="M14" s="28">
        <f t="shared" si="2"/>
        <v>-6611</v>
      </c>
      <c r="N14" s="32">
        <f t="shared" si="3"/>
        <v>-1</v>
      </c>
    </row>
    <row r="15" spans="1:17" x14ac:dyDescent="0.2">
      <c r="B15" s="24" t="s">
        <v>39</v>
      </c>
      <c r="C15" s="28">
        <f>8143*('2022 IR Data Book'!$A$5)</f>
        <v>8143</v>
      </c>
      <c r="D15" s="28">
        <f>6514*('2022 IR Data Book'!$A$5)</f>
        <v>6514</v>
      </c>
      <c r="E15" s="28">
        <f>(-4579)*('2022 IR Data Book'!$A$5)</f>
        <v>-4579</v>
      </c>
      <c r="F15" s="28">
        <f>G15-C15-D15-E15</f>
        <v>7771</v>
      </c>
      <c r="G15" s="28">
        <f>(17849)*('2022 IR Data Book'!$A$5)</f>
        <v>17849</v>
      </c>
      <c r="H15" s="28">
        <f>8351.413296422*('2022 IR Data Book'!$A$5)</f>
        <v>8351.4132964220007</v>
      </c>
      <c r="I15" s="36">
        <f>-10969.3359538721*('2022 IR Data Book'!$A$5)</f>
        <v>-10969.3359538721</v>
      </c>
      <c r="J15" s="36">
        <f>9802.38519477437*('2022 IR Data Book'!$A$5)</f>
        <v>9802.3851947743697</v>
      </c>
      <c r="K15" s="36">
        <f>J15-E15</f>
        <v>14381.38519477437</v>
      </c>
      <c r="L15" s="37">
        <f>K15/E15</f>
        <v>-3.1407261836152807</v>
      </c>
      <c r="M15" s="36">
        <f t="shared" si="2"/>
        <v>-2893.5374626757293</v>
      </c>
      <c r="N15" s="37">
        <f t="shared" si="3"/>
        <v>-0.28711425507796479</v>
      </c>
    </row>
    <row r="16" spans="1:17" x14ac:dyDescent="0.2">
      <c r="B16" s="25" t="s">
        <v>40</v>
      </c>
      <c r="C16" s="29">
        <f t="shared" ref="C16:I16" si="5">SUM(C10:C15)</f>
        <v>79455</v>
      </c>
      <c r="D16" s="29">
        <f t="shared" si="5"/>
        <v>99552</v>
      </c>
      <c r="E16" s="29">
        <f t="shared" si="5"/>
        <v>68018</v>
      </c>
      <c r="F16" s="29">
        <f t="shared" si="5"/>
        <v>58649</v>
      </c>
      <c r="G16" s="29">
        <f t="shared" si="5"/>
        <v>305674</v>
      </c>
      <c r="H16" s="29">
        <f t="shared" si="5"/>
        <v>75006.391175596727</v>
      </c>
      <c r="I16" s="34">
        <f t="shared" si="5"/>
        <v>63568.123313084623</v>
      </c>
      <c r="J16" s="34">
        <f t="shared" ref="J16" si="6">SUM(J10:J15)</f>
        <v>50907.23696885418</v>
      </c>
      <c r="K16" s="28">
        <f>J16-E16</f>
        <v>-17110.76303114582</v>
      </c>
      <c r="L16" s="32">
        <f>K16/E16</f>
        <v>-0.25156227809029696</v>
      </c>
      <c r="M16" s="28">
        <f>(H16+I16+J16)-(C16+D16+E16)</f>
        <v>-57543.248542464484</v>
      </c>
      <c r="N16" s="32">
        <f>M16/(C16+D16+E16)</f>
        <v>-0.23294504014761455</v>
      </c>
    </row>
    <row r="17" spans="2:17" x14ac:dyDescent="0.2">
      <c r="B17" s="25"/>
      <c r="C17" s="28"/>
      <c r="D17" s="28"/>
      <c r="E17" s="28"/>
      <c r="F17" s="28"/>
      <c r="G17" s="28"/>
      <c r="H17" s="28"/>
      <c r="I17" s="28"/>
      <c r="J17" s="28"/>
      <c r="K17" s="28"/>
      <c r="L17" s="32"/>
      <c r="M17" s="28"/>
      <c r="N17" s="32"/>
    </row>
    <row r="18" spans="2:17" x14ac:dyDescent="0.2">
      <c r="B18" s="22" t="s">
        <v>41</v>
      </c>
      <c r="C18" s="28">
        <f>2247*('2022 IR Data Book'!$A$5)</f>
        <v>2247</v>
      </c>
      <c r="D18" s="28">
        <f>1426*('2022 IR Data Book'!$A$5)</f>
        <v>1426</v>
      </c>
      <c r="E18" s="28">
        <f>1374*('2022 IR Data Book'!$A$5)</f>
        <v>1374</v>
      </c>
      <c r="F18" s="28">
        <f t="shared" ref="F18:F20" si="7">G18-C18-D18-E18</f>
        <v>1359</v>
      </c>
      <c r="G18" s="28">
        <f>6406*('2022 IR Data Book'!$A$5)</f>
        <v>6406</v>
      </c>
      <c r="H18" s="28">
        <f>991.01122253691*('2022 IR Data Book'!$A$5)</f>
        <v>991.01122253691005</v>
      </c>
      <c r="I18" s="28">
        <f>1005.15436493052*('2022 IR Data Book'!$A$5)</f>
        <v>1005.15436493052</v>
      </c>
      <c r="J18" s="28">
        <f>763.151258181049*('2022 IR Data Book'!$A$5)</f>
        <v>763.151258181049</v>
      </c>
      <c r="K18" s="28">
        <f t="shared" ref="K18:K20" si="8">J18-E18</f>
        <v>-610.848741818951</v>
      </c>
      <c r="L18" s="32">
        <f>K18/E18</f>
        <v>-0.44457695911131806</v>
      </c>
      <c r="M18" s="28">
        <f t="shared" ref="M18:M23" si="9">(H18+I18+J18)-(C18+D18+E18)</f>
        <v>-2287.6831543515209</v>
      </c>
      <c r="N18" s="32">
        <f t="shared" ref="N18:N23" si="10">M18/(C18+D18+E18)</f>
        <v>-0.4532758379931684</v>
      </c>
    </row>
    <row r="19" spans="2:17" x14ac:dyDescent="0.2">
      <c r="B19" s="22" t="s">
        <v>42</v>
      </c>
      <c r="C19" s="28">
        <f>-15290*('2022 IR Data Book'!$A$5)</f>
        <v>-15290</v>
      </c>
      <c r="D19" s="28">
        <f>-15364*('2022 IR Data Book'!$A$5)</f>
        <v>-15364</v>
      </c>
      <c r="E19" s="28">
        <f>-15494*('2022 IR Data Book'!$A$5)</f>
        <v>-15494</v>
      </c>
      <c r="F19" s="28">
        <f t="shared" si="7"/>
        <v>-13940</v>
      </c>
      <c r="G19" s="28">
        <f>-60088*('2022 IR Data Book'!$A$5)</f>
        <v>-60088</v>
      </c>
      <c r="H19" s="28">
        <f>-12840.3882239414*('2022 IR Data Book'!$A$5)</f>
        <v>-12840.3882239414</v>
      </c>
      <c r="I19" s="28">
        <f>-15376.8808591112*('2022 IR Data Book'!$A$5)</f>
        <v>-15376.880859111199</v>
      </c>
      <c r="J19" s="28">
        <f>-16307.2683124092*('2022 IR Data Book'!$A$5)</f>
        <v>-16307.2683124092</v>
      </c>
      <c r="K19" s="28">
        <f t="shared" si="8"/>
        <v>-813.26831240920001</v>
      </c>
      <c r="L19" s="32">
        <f>-K19/E19</f>
        <v>-5.2489241797418353E-2</v>
      </c>
      <c r="M19" s="28">
        <f t="shared" si="9"/>
        <v>1623.4626045382029</v>
      </c>
      <c r="N19" s="32">
        <f t="shared" si="10"/>
        <v>-3.5179479165688719E-2</v>
      </c>
    </row>
    <row r="20" spans="2:17" x14ac:dyDescent="0.2">
      <c r="B20" s="26" t="s">
        <v>43</v>
      </c>
      <c r="C20" s="28">
        <f>2685*('2022 IR Data Book'!$A$5)</f>
        <v>2685</v>
      </c>
      <c r="D20" s="28">
        <f>4608*('2022 IR Data Book'!$A$5)</f>
        <v>4608</v>
      </c>
      <c r="E20" s="28">
        <f>1911*('2022 IR Data Book'!$A$5)</f>
        <v>1911</v>
      </c>
      <c r="F20" s="28">
        <f t="shared" si="7"/>
        <v>1028</v>
      </c>
      <c r="G20" s="28">
        <f>10232*('2022 IR Data Book'!$A$5)</f>
        <v>10232</v>
      </c>
      <c r="H20" s="28">
        <f>3555.9604193588*('2022 IR Data Book'!$A$5)</f>
        <v>3555.9604193588002</v>
      </c>
      <c r="I20" s="28">
        <f>4164.24552562748*('2022 IR Data Book'!$A$5)</f>
        <v>4164.2455256274798</v>
      </c>
      <c r="J20" s="28">
        <f>944.488232574719*('2022 IR Data Book'!$A$5)</f>
        <v>944.48823257471895</v>
      </c>
      <c r="K20" s="36">
        <f t="shared" si="8"/>
        <v>-966.51176742528105</v>
      </c>
      <c r="L20" s="37">
        <f>K20/E20</f>
        <v>-0.50576230634499275</v>
      </c>
      <c r="M20" s="36">
        <f t="shared" si="9"/>
        <v>-539.30582243900062</v>
      </c>
      <c r="N20" s="37">
        <f t="shared" si="10"/>
        <v>-5.8594722125054392E-2</v>
      </c>
    </row>
    <row r="21" spans="2:17" x14ac:dyDescent="0.2">
      <c r="B21" s="23" t="s">
        <v>44</v>
      </c>
      <c r="C21" s="29">
        <f>SUM(C16:C20)</f>
        <v>69097</v>
      </c>
      <c r="D21" s="29">
        <f t="shared" ref="D21:I21" si="11">SUM(D16:D20)</f>
        <v>90222</v>
      </c>
      <c r="E21" s="29">
        <f t="shared" si="11"/>
        <v>55809</v>
      </c>
      <c r="F21" s="29">
        <f t="shared" si="11"/>
        <v>47096</v>
      </c>
      <c r="G21" s="29">
        <f t="shared" si="11"/>
        <v>262224</v>
      </c>
      <c r="H21" s="29">
        <f t="shared" si="11"/>
        <v>66712.974593551029</v>
      </c>
      <c r="I21" s="29">
        <f t="shared" si="11"/>
        <v>53360.642344531421</v>
      </c>
      <c r="J21" s="29">
        <f t="shared" ref="J21" si="12">SUM(J16:J20)</f>
        <v>36307.608147200743</v>
      </c>
      <c r="K21" s="38">
        <f>J21-E21</f>
        <v>-19501.391852799257</v>
      </c>
      <c r="L21" s="39">
        <f>K21/E21</f>
        <v>-0.34943094935940899</v>
      </c>
      <c r="M21" s="38">
        <f t="shared" si="9"/>
        <v>-58746.774914716807</v>
      </c>
      <c r="N21" s="39">
        <f t="shared" si="10"/>
        <v>-0.27307823674610837</v>
      </c>
    </row>
    <row r="22" spans="2:17" x14ac:dyDescent="0.2">
      <c r="B22" s="22" t="s">
        <v>45</v>
      </c>
      <c r="C22" s="28">
        <f>-27647*('2022 IR Data Book'!$A$5)</f>
        <v>-27647</v>
      </c>
      <c r="D22" s="28">
        <f>-29409*('2022 IR Data Book'!$A$5)</f>
        <v>-29409</v>
      </c>
      <c r="E22" s="28">
        <f>-23812*('2022 IR Data Book'!$A$5)</f>
        <v>-23812</v>
      </c>
      <c r="F22" s="28">
        <f t="shared" ref="F22" si="13">G22-C22-D22-E22</f>
        <v>-604</v>
      </c>
      <c r="G22" s="28">
        <f>(-81472)*('2022 IR Data Book'!$A$5)</f>
        <v>-81472</v>
      </c>
      <c r="H22" s="28">
        <f>-19735.8152716225*('2022 IR Data Book'!$A$5)</f>
        <v>-19735.815271622501</v>
      </c>
      <c r="I22" s="28">
        <f>-8349.12519583467*('2022 IR Data Book'!$A$5)</f>
        <v>-8349.1251958346693</v>
      </c>
      <c r="J22" s="28">
        <f>504.491688053108*('2022 IR Data Book'!$A$5)</f>
        <v>504.49168805310802</v>
      </c>
      <c r="K22" s="28">
        <f>J22-E22</f>
        <v>24316.491688053109</v>
      </c>
      <c r="L22" s="32">
        <f>-K22/E22</f>
        <v>1.0211864475076897</v>
      </c>
      <c r="M22" s="28">
        <f t="shared" si="9"/>
        <v>53287.551220595939</v>
      </c>
      <c r="N22" s="32">
        <f t="shared" si="10"/>
        <v>-0.65894483875693644</v>
      </c>
    </row>
    <row r="23" spans="2:17" ht="15" x14ac:dyDescent="0.25">
      <c r="B23" s="23" t="s">
        <v>46</v>
      </c>
      <c r="C23" s="30">
        <f>SUM(C21:C22)</f>
        <v>41450</v>
      </c>
      <c r="D23" s="30">
        <f>SUM(D21:D22)</f>
        <v>60813</v>
      </c>
      <c r="E23" s="30">
        <f t="shared" ref="E23:G23" si="14">SUM(E21:E22)</f>
        <v>31997</v>
      </c>
      <c r="F23" s="30">
        <f t="shared" si="14"/>
        <v>46492</v>
      </c>
      <c r="G23" s="30">
        <f t="shared" si="14"/>
        <v>180752</v>
      </c>
      <c r="H23" s="30">
        <f>SUM(H21:H22)</f>
        <v>46977.159321928528</v>
      </c>
      <c r="I23" s="30">
        <f>SUM(I21:I22)</f>
        <v>45011.517148696752</v>
      </c>
      <c r="J23" s="30">
        <f>SUM(J21:J22)</f>
        <v>36812.099835253852</v>
      </c>
      <c r="K23" s="40">
        <f>J23-E23</f>
        <v>4815.0998352538518</v>
      </c>
      <c r="L23" s="41">
        <f>K23/E23</f>
        <v>0.15048597791211213</v>
      </c>
      <c r="M23" s="40">
        <f t="shared" si="9"/>
        <v>-5459.223694120883</v>
      </c>
      <c r="N23" s="41">
        <f t="shared" si="10"/>
        <v>-4.0661579726805328E-2</v>
      </c>
      <c r="P23" s="228"/>
      <c r="Q23" s="228"/>
    </row>
    <row r="24" spans="2:17" x14ac:dyDescent="0.2">
      <c r="B24" s="23"/>
      <c r="C24" s="28"/>
      <c r="D24" s="28"/>
      <c r="E24" s="28"/>
      <c r="F24" s="28"/>
      <c r="G24" s="28"/>
      <c r="H24" s="28"/>
      <c r="I24" s="28"/>
      <c r="J24" s="28"/>
      <c r="K24" s="28"/>
      <c r="L24" s="32"/>
      <c r="M24" s="28"/>
      <c r="N24" s="32"/>
      <c r="P24" s="91"/>
    </row>
    <row r="25" spans="2:17" x14ac:dyDescent="0.2">
      <c r="B25" s="23" t="s">
        <v>47</v>
      </c>
      <c r="C25" s="28"/>
      <c r="D25" s="28"/>
      <c r="E25" s="28"/>
      <c r="F25" s="28"/>
      <c r="G25" s="28"/>
      <c r="H25" s="28"/>
      <c r="I25" s="28"/>
      <c r="J25" s="28"/>
      <c r="K25" s="28"/>
      <c r="L25" s="32"/>
      <c r="M25" s="28"/>
      <c r="N25" s="32"/>
      <c r="P25" s="2"/>
      <c r="Q25" s="2"/>
    </row>
    <row r="26" spans="2:17" x14ac:dyDescent="0.2">
      <c r="B26" s="22" t="s">
        <v>48</v>
      </c>
      <c r="C26" s="28">
        <f>5895*('2022 IR Data Book'!$A$5)</f>
        <v>5895</v>
      </c>
      <c r="D26" s="28">
        <f>5432*('2022 IR Data Book'!$A$5)</f>
        <v>5432</v>
      </c>
      <c r="E26" s="28">
        <f>5037*('2022 IR Data Book'!$A$5)</f>
        <v>5037</v>
      </c>
      <c r="F26" s="28">
        <f t="shared" ref="F26:F27" si="15">G26-C26-D26-E26</f>
        <v>-623</v>
      </c>
      <c r="G26" s="28">
        <f>(15741)*('2022 IR Data Book'!$A$5)</f>
        <v>15741</v>
      </c>
      <c r="H26" s="28">
        <f>8.02103920024501*('2022 IR Data Book'!$A$5)</f>
        <v>8.0210392002450099</v>
      </c>
      <c r="I26" s="28">
        <f>-23.9996667664583*('2022 IR Data Book'!$A$5)</f>
        <v>-23.999666766458301</v>
      </c>
      <c r="J26" s="28">
        <f>1191.33466071547*('2022 IR Data Book'!$A$5)</f>
        <v>1191.3346607154699</v>
      </c>
      <c r="K26" s="28">
        <f>J26-E26</f>
        <v>-3845.6653392845301</v>
      </c>
      <c r="L26" s="32">
        <f>K26/E26</f>
        <v>-0.76348329149980743</v>
      </c>
      <c r="M26" s="28">
        <f>(H26+I26+J26)-(C26+D26+E26)</f>
        <v>-15188.643966850743</v>
      </c>
      <c r="N26" s="32">
        <f>M26/(C26+D26+E26)</f>
        <v>-0.92817428299014559</v>
      </c>
    </row>
    <row r="27" spans="2:17" x14ac:dyDescent="0.2">
      <c r="B27" s="22" t="s">
        <v>49</v>
      </c>
      <c r="C27" s="28">
        <f>0*('2022 IR Data Book'!$A$5)</f>
        <v>0</v>
      </c>
      <c r="D27" s="28">
        <f>0*('2022 IR Data Book'!$A$5)</f>
        <v>0</v>
      </c>
      <c r="E27" s="28">
        <f>31608*('2022 IR Data Book'!$A$5)</f>
        <v>31608</v>
      </c>
      <c r="F27" s="28">
        <f t="shared" si="15"/>
        <v>0</v>
      </c>
      <c r="G27" s="28">
        <f>(31608)*('2022 IR Data Book'!$A$5)</f>
        <v>31608</v>
      </c>
      <c r="H27" s="28">
        <f>800.0869278*('2022 IR Data Book'!$A$5)</f>
        <v>800.08692780000001</v>
      </c>
      <c r="I27" s="28">
        <f>0*('2022 IR Data Book'!$A$5)</f>
        <v>0</v>
      </c>
      <c r="J27" s="28">
        <f>1520.9044572*('2022 IR Data Book'!$A$5)</f>
        <v>1520.9044572</v>
      </c>
      <c r="K27" s="28">
        <f>J27-E27</f>
        <v>-30087.095542800002</v>
      </c>
      <c r="L27" s="32"/>
      <c r="M27" s="28">
        <f>(H27+I27+J27)-(C27+D27+E27)</f>
        <v>-29287.008614999999</v>
      </c>
      <c r="N27" s="32">
        <f>M27/(C27+D27+E27)</f>
        <v>-0.92656949553910395</v>
      </c>
    </row>
    <row r="28" spans="2:17" ht="15" x14ac:dyDescent="0.25">
      <c r="B28" s="23" t="s">
        <v>50</v>
      </c>
      <c r="C28" s="30">
        <f>C26+C23+C27</f>
        <v>47345</v>
      </c>
      <c r="D28" s="30">
        <f>D26+D23+D27</f>
        <v>66245</v>
      </c>
      <c r="E28" s="30">
        <f t="shared" ref="E28:G28" si="16">E26+E23+E27</f>
        <v>68642</v>
      </c>
      <c r="F28" s="30">
        <f t="shared" si="16"/>
        <v>45869</v>
      </c>
      <c r="G28" s="30">
        <f t="shared" si="16"/>
        <v>228101</v>
      </c>
      <c r="H28" s="30">
        <f>H26+H23+H27</f>
        <v>47785.267288928779</v>
      </c>
      <c r="I28" s="30">
        <f>I26+I23+I27</f>
        <v>44987.517481930292</v>
      </c>
      <c r="J28" s="30">
        <f>J26+J23+J27</f>
        <v>39524.338953169317</v>
      </c>
      <c r="K28" s="40">
        <f>J28-E28</f>
        <v>-29117.661046830683</v>
      </c>
      <c r="L28" s="242">
        <f>K28/E28</f>
        <v>-0.42419598856138635</v>
      </c>
      <c r="M28" s="40">
        <f>(H28+I28+J28)-(C28+D28+E28)</f>
        <v>-49934.876275971619</v>
      </c>
      <c r="N28" s="41">
        <f>M28/(C28+D28+E28)</f>
        <v>-0.27401815419888725</v>
      </c>
      <c r="P28" s="228"/>
      <c r="Q28" s="228"/>
    </row>
    <row r="29" spans="2:17" x14ac:dyDescent="0.2">
      <c r="B29" s="23"/>
      <c r="C29" s="28"/>
      <c r="D29" s="28"/>
      <c r="E29" s="28"/>
      <c r="F29" s="28"/>
      <c r="G29" s="28"/>
      <c r="H29" s="28"/>
      <c r="I29" s="28"/>
      <c r="J29" s="28"/>
      <c r="K29" s="28"/>
      <c r="L29" s="32"/>
      <c r="M29" s="28"/>
      <c r="N29" s="32"/>
    </row>
    <row r="30" spans="2:17" x14ac:dyDescent="0.2">
      <c r="B30" s="23" t="s">
        <v>51</v>
      </c>
      <c r="C30" s="28"/>
      <c r="D30" s="28"/>
      <c r="E30" s="28"/>
      <c r="F30" s="28"/>
      <c r="G30" s="28"/>
      <c r="H30" s="28"/>
      <c r="I30" s="28"/>
      <c r="J30" s="28"/>
      <c r="K30" s="28"/>
      <c r="L30" s="32"/>
      <c r="M30" s="28"/>
      <c r="N30" s="32"/>
    </row>
    <row r="31" spans="2:17" x14ac:dyDescent="0.2">
      <c r="B31" s="27" t="s">
        <v>52</v>
      </c>
      <c r="C31" s="28"/>
      <c r="D31" s="28"/>
      <c r="E31" s="28"/>
      <c r="F31" s="28"/>
      <c r="G31" s="28"/>
      <c r="H31" s="28"/>
      <c r="I31" s="28"/>
      <c r="J31" s="28"/>
      <c r="K31" s="28"/>
      <c r="L31" s="32"/>
      <c r="M31" s="28"/>
      <c r="N31" s="32"/>
    </row>
    <row r="32" spans="2:17" x14ac:dyDescent="0.2">
      <c r="B32" s="22" t="s">
        <v>53</v>
      </c>
      <c r="C32" s="28">
        <f>40656*('2022 IR Data Book'!$A$5)</f>
        <v>40656</v>
      </c>
      <c r="D32" s="28">
        <f>60419*('2022 IR Data Book'!$A$5)</f>
        <v>60419</v>
      </c>
      <c r="E32" s="28">
        <f>31350*('2022 IR Data Book'!$A$5)</f>
        <v>31350</v>
      </c>
      <c r="F32" s="28">
        <f t="shared" ref="F32:F33" si="17">G32-C32-D32-E32</f>
        <v>46870</v>
      </c>
      <c r="G32" s="28">
        <f>(179295)*('2022 IR Data Book'!$A$5)</f>
        <v>179295</v>
      </c>
      <c r="H32" s="28">
        <f>46494.1878882839*('2022 IR Data Book'!$A$5)</f>
        <v>46494.187888283901</v>
      </c>
      <c r="I32" s="28">
        <f>44592.4391410097*('2022 IR Data Book'!$A$5)</f>
        <v>44592.439141009701</v>
      </c>
      <c r="J32" s="28">
        <f>36931.2203883523*('2022 IR Data Book'!$A$5)</f>
        <v>36931.220388352303</v>
      </c>
      <c r="K32" s="28">
        <f t="shared" ref="K32:K34" si="18">J32-E32</f>
        <v>5581.2203883523034</v>
      </c>
      <c r="L32" s="32">
        <f>K32/E32</f>
        <v>0.17802935848013726</v>
      </c>
      <c r="M32" s="28">
        <f>(H32+I32+J32)-(C32+D32+E32)</f>
        <v>-4407.1525823541015</v>
      </c>
      <c r="N32" s="32">
        <f>M32/(C32+D32+E32)</f>
        <v>-3.3280366866936771E-2</v>
      </c>
    </row>
    <row r="33" spans="2:18" x14ac:dyDescent="0.2">
      <c r="B33" s="22" t="s">
        <v>54</v>
      </c>
      <c r="C33" s="28">
        <f>5357*('2022 IR Data Book'!$A$5)</f>
        <v>5357</v>
      </c>
      <c r="D33" s="28">
        <f>5047*('2022 IR Data Book'!$A$5)</f>
        <v>5047</v>
      </c>
      <c r="E33" s="28">
        <f>36465*('2022 IR Data Book'!$A$5)</f>
        <v>36465</v>
      </c>
      <c r="F33" s="28">
        <f t="shared" si="17"/>
        <v>-623</v>
      </c>
      <c r="G33" s="28">
        <f>(46246)*('2022 IR Data Book'!$A$5)</f>
        <v>46246</v>
      </c>
      <c r="H33" s="28">
        <f>808.109436040245*('2022 IR Data Book'!$A$5)</f>
        <v>808.10943604024499</v>
      </c>
      <c r="I33" s="28">
        <f>-24.0000340264582*('2022 IR Data Book'!$A$5)</f>
        <v>-24.000034026458199</v>
      </c>
      <c r="J33" s="28">
        <f>2712.23853029947*('2022 IR Data Book'!$A$5)</f>
        <v>2712.2385302994699</v>
      </c>
      <c r="K33" s="28">
        <f t="shared" si="18"/>
        <v>-33752.761469700534</v>
      </c>
      <c r="L33" s="32">
        <f>K33/E33</f>
        <v>-0.92562077251338359</v>
      </c>
      <c r="M33" s="28">
        <f>(H33+I33+J33)-(C33+D33+E33)</f>
        <v>-43372.652067686744</v>
      </c>
      <c r="N33" s="32">
        <f>M33/(C33+D33+E33)</f>
        <v>-0.92540169552767804</v>
      </c>
    </row>
    <row r="34" spans="2:18" ht="15" x14ac:dyDescent="0.25">
      <c r="B34" s="22"/>
      <c r="C34" s="30">
        <f>SUM(C32:C33)</f>
        <v>46013</v>
      </c>
      <c r="D34" s="30">
        <f>SUM(D32:D33)</f>
        <v>65466</v>
      </c>
      <c r="E34" s="30">
        <f t="shared" ref="E34:G34" si="19">SUM(E32:E33)</f>
        <v>67815</v>
      </c>
      <c r="F34" s="30">
        <f t="shared" si="19"/>
        <v>46247</v>
      </c>
      <c r="G34" s="30">
        <f t="shared" si="19"/>
        <v>225541</v>
      </c>
      <c r="H34" s="30">
        <f>SUM(H32:H33)</f>
        <v>47302.297324324143</v>
      </c>
      <c r="I34" s="30">
        <f>SUM(I32:I33)</f>
        <v>44568.439106983242</v>
      </c>
      <c r="J34" s="30">
        <f>SUM(J32:J33)</f>
        <v>39643.45891865177</v>
      </c>
      <c r="K34" s="40">
        <f t="shared" si="18"/>
        <v>-28171.54108134823</v>
      </c>
      <c r="L34" s="242">
        <f>K34/E34</f>
        <v>-0.41541754893973648</v>
      </c>
      <c r="M34" s="40">
        <f>(H34+I34+J34)-(C34+D34+E34)</f>
        <v>-47779.804650040838</v>
      </c>
      <c r="N34" s="41">
        <f>M34/(C34+D34+E34)</f>
        <v>-0.26648858662331609</v>
      </c>
      <c r="P34" s="228"/>
      <c r="Q34" s="228"/>
    </row>
    <row r="35" spans="2:18" x14ac:dyDescent="0.2">
      <c r="B35" s="27" t="s">
        <v>55</v>
      </c>
      <c r="C35" s="28"/>
      <c r="D35" s="28"/>
      <c r="E35" s="28"/>
      <c r="F35" s="28"/>
      <c r="G35" s="28"/>
      <c r="H35" s="28"/>
      <c r="I35" s="28"/>
      <c r="J35" s="28"/>
      <c r="K35" s="28"/>
      <c r="L35" s="32"/>
      <c r="M35" s="28"/>
      <c r="N35" s="32"/>
      <c r="P35" s="2"/>
      <c r="Q35" s="2"/>
      <c r="R35" s="2"/>
    </row>
    <row r="36" spans="2:18" x14ac:dyDescent="0.2">
      <c r="B36" s="22" t="s">
        <v>56</v>
      </c>
      <c r="C36" s="28">
        <f>794*('2022 IR Data Book'!$A$5)</f>
        <v>794</v>
      </c>
      <c r="D36" s="28">
        <f>394*('2022 IR Data Book'!$A$5)</f>
        <v>394</v>
      </c>
      <c r="E36" s="28">
        <f>647*('2022 IR Data Book'!$A$5)</f>
        <v>647</v>
      </c>
      <c r="F36" s="28">
        <f t="shared" ref="F36:F37" si="20">G36-C36-D36-E36</f>
        <v>-378</v>
      </c>
      <c r="G36" s="28">
        <f>1457*('2022 IR Data Book'!$A$5)</f>
        <v>1457</v>
      </c>
      <c r="H36" s="28">
        <f>482.969964602641*('2022 IR Data Book'!$A$5)</f>
        <v>482.96996460264103</v>
      </c>
      <c r="I36" s="28">
        <f>420*('2022 IR Data Book'!$A$5)</f>
        <v>420</v>
      </c>
      <c r="J36" s="28">
        <f>-119.121592951046*('2022 IR Data Book'!$A$5)</f>
        <v>-119.121592951046</v>
      </c>
      <c r="K36" s="28">
        <f t="shared" ref="K36:K38" si="21">J36-E36</f>
        <v>-766.12159295104595</v>
      </c>
      <c r="L36" s="32">
        <f>K36/E36</f>
        <v>-1.184113744901153</v>
      </c>
      <c r="M36" s="28">
        <f>(H36+I36+J36)-(C36+D36+E36)</f>
        <v>-1051.1516283484048</v>
      </c>
      <c r="N36" s="32">
        <f>M36/(C36+D36+E36)</f>
        <v>-0.57283467484926687</v>
      </c>
    </row>
    <row r="37" spans="2:18" x14ac:dyDescent="0.2">
      <c r="B37" s="22" t="s">
        <v>57</v>
      </c>
      <c r="C37" s="28">
        <f>538*('2022 IR Data Book'!$A$5)</f>
        <v>538</v>
      </c>
      <c r="D37" s="28">
        <f>385*('2022 IR Data Book'!$A$5)</f>
        <v>385</v>
      </c>
      <c r="E37" s="28">
        <f>180*('2022 IR Data Book'!$A$5)</f>
        <v>180</v>
      </c>
      <c r="F37" s="28">
        <f t="shared" si="20"/>
        <v>0</v>
      </c>
      <c r="G37" s="28">
        <f>(1103)*('2022 IR Data Book'!$A$5)</f>
        <v>1103</v>
      </c>
      <c r="H37" s="28">
        <f>0*('2022 IR Data Book'!$A$5)</f>
        <v>0</v>
      </c>
      <c r="I37" s="28">
        <f>0*('2022 IR Data Book'!$A$5)</f>
        <v>0</v>
      </c>
      <c r="J37" s="28">
        <v>0</v>
      </c>
      <c r="K37" s="28">
        <f t="shared" si="21"/>
        <v>-180</v>
      </c>
      <c r="L37" s="32">
        <f>K37/E37</f>
        <v>-1</v>
      </c>
      <c r="M37" s="28">
        <f>(H37+I37+J37)-(C37+D37+E37)</f>
        <v>-1103</v>
      </c>
      <c r="N37" s="32">
        <f>M37/(C37+D37+E37)</f>
        <v>-1</v>
      </c>
    </row>
    <row r="38" spans="2:18" ht="15" x14ac:dyDescent="0.25">
      <c r="B38" s="23"/>
      <c r="C38" s="30">
        <f>SUM(C36:C37)</f>
        <v>1332</v>
      </c>
      <c r="D38" s="30">
        <f>SUM(D36:D37)</f>
        <v>779</v>
      </c>
      <c r="E38" s="30">
        <f t="shared" ref="E38:G38" si="22">SUM(E36:E37)</f>
        <v>827</v>
      </c>
      <c r="F38" s="30">
        <f t="shared" si="22"/>
        <v>-378</v>
      </c>
      <c r="G38" s="30">
        <f t="shared" si="22"/>
        <v>2560</v>
      </c>
      <c r="H38" s="30">
        <f>SUM(H36:H37)</f>
        <v>482.96996460264103</v>
      </c>
      <c r="I38" s="30">
        <f>SUM(I36:I37)</f>
        <v>420</v>
      </c>
      <c r="J38" s="30">
        <f>SUM(J36:J37)</f>
        <v>-119.121592951046</v>
      </c>
      <c r="K38" s="40">
        <f t="shared" si="21"/>
        <v>-946.12159295104595</v>
      </c>
      <c r="L38" s="41">
        <f>K38/E38</f>
        <v>-1.1440406202551947</v>
      </c>
      <c r="M38" s="40">
        <f>(H38+I38+J38)-(C38+D38+E38)</f>
        <v>-2154.1516283484048</v>
      </c>
      <c r="N38" s="41">
        <f>M38/(C38+D38+E38)</f>
        <v>-0.73320341332484851</v>
      </c>
    </row>
    <row r="39" spans="2:18" x14ac:dyDescent="0.2">
      <c r="B39" s="23"/>
      <c r="L39" s="33"/>
      <c r="N39" s="33"/>
    </row>
    <row r="40" spans="2:18" x14ac:dyDescent="0.2">
      <c r="B40" s="23" t="s">
        <v>58</v>
      </c>
      <c r="L40" s="33"/>
      <c r="N40" s="33"/>
    </row>
    <row r="41" spans="2:18" x14ac:dyDescent="0.2">
      <c r="B41" s="22" t="s">
        <v>59</v>
      </c>
      <c r="C41" s="31">
        <f>C32*1000/1464100000</f>
        <v>2.7768595041322314E-2</v>
      </c>
      <c r="D41" s="31">
        <f>D32*1000/1464100000</f>
        <v>4.1266989959702204E-2</v>
      </c>
      <c r="E41" s="31">
        <f t="shared" ref="E41:G41" si="23">E32*1000/1464100000</f>
        <v>2.1412471825694966E-2</v>
      </c>
      <c r="F41" s="31">
        <f t="shared" ref="F41" si="24">F32*1000/1464100000</f>
        <v>3.2012840652960867E-2</v>
      </c>
      <c r="G41" s="31">
        <f t="shared" si="23"/>
        <v>0.12246089747968035</v>
      </c>
      <c r="H41" s="31">
        <f t="shared" ref="H41:J42" si="25">H32*1000/1464100000</f>
        <v>3.1756155923969603E-2</v>
      </c>
      <c r="I41" s="31">
        <f t="shared" si="25"/>
        <v>3.0457235940857662E-2</v>
      </c>
      <c r="J41" s="31">
        <f t="shared" si="25"/>
        <v>2.5224520448297455E-2</v>
      </c>
      <c r="K41" s="28">
        <f>J41-E41</f>
        <v>3.8120486226024888E-3</v>
      </c>
      <c r="L41" s="32">
        <f>K41/E41</f>
        <v>0.17802935848013729</v>
      </c>
      <c r="M41" s="35">
        <f>(H41+I41+J41)-(C41+D41+E41)</f>
        <v>-3.0101445135947702E-3</v>
      </c>
      <c r="N41" s="32">
        <f>M41/(C41+D41+E41)</f>
        <v>-3.3280366866936778E-2</v>
      </c>
    </row>
    <row r="42" spans="2:18" x14ac:dyDescent="0.2">
      <c r="B42" s="22" t="s">
        <v>60</v>
      </c>
      <c r="C42" s="31">
        <f>C33*1000/1464100000</f>
        <v>3.6589030803906835E-3</v>
      </c>
      <c r="D42" s="31">
        <f>D33*1000/1464100000</f>
        <v>3.4471689092275119E-3</v>
      </c>
      <c r="E42" s="31">
        <f t="shared" ref="E42:G42" si="26">E33*1000/1464100000</f>
        <v>2.4906085649887302E-2</v>
      </c>
      <c r="F42" s="31">
        <f t="shared" ref="F42" si="27">F33*1000/1464100000</f>
        <v>-4.2551738269243903E-4</v>
      </c>
      <c r="G42" s="31">
        <f t="shared" si="26"/>
        <v>3.1586640256813056E-2</v>
      </c>
      <c r="H42" s="31">
        <f t="shared" si="25"/>
        <v>5.5194961822296635E-4</v>
      </c>
      <c r="I42" s="31">
        <f t="shared" si="25"/>
        <v>-1.6392346169290483E-5</v>
      </c>
      <c r="J42" s="31">
        <f t="shared" si="25"/>
        <v>1.8524954103541218E-3</v>
      </c>
      <c r="K42" s="28">
        <f>J42-E42</f>
        <v>-2.305359023953318E-2</v>
      </c>
      <c r="L42" s="32">
        <f>K42/E42</f>
        <v>-0.92562077251338359</v>
      </c>
      <c r="M42" s="35">
        <f>(H42+I42+J42)-(C42+D42+E42)</f>
        <v>-2.9624104957097698E-2</v>
      </c>
      <c r="N42" s="32">
        <f>M42/(C42+D42+E42)</f>
        <v>-0.92540169552767804</v>
      </c>
    </row>
    <row r="46" spans="2:18" x14ac:dyDescent="0.2">
      <c r="B46" s="195" t="s">
        <v>61</v>
      </c>
      <c r="C46" s="196">
        <v>2017</v>
      </c>
      <c r="D46" s="196">
        <v>2018</v>
      </c>
      <c r="E46" s="196">
        <v>2019</v>
      </c>
      <c r="F46" s="196">
        <v>2020</v>
      </c>
      <c r="G46" s="196">
        <v>2021</v>
      </c>
    </row>
    <row r="47" spans="2:18" x14ac:dyDescent="0.2">
      <c r="B47" s="72" t="s">
        <v>62</v>
      </c>
      <c r="C47" s="2">
        <v>0.16299979509596338</v>
      </c>
      <c r="D47" s="2">
        <v>0.16500034150672768</v>
      </c>
      <c r="E47" s="2">
        <v>0.16500000000885801</v>
      </c>
      <c r="F47" s="2">
        <v>0.13000000000697903</v>
      </c>
      <c r="G47" s="2">
        <v>0.13</v>
      </c>
    </row>
    <row r="48" spans="2:18" x14ac:dyDescent="0.2">
      <c r="B48" s="72" t="s">
        <v>63</v>
      </c>
      <c r="C48" s="2">
        <v>0.54811333971828136</v>
      </c>
      <c r="D48" s="2">
        <v>0.49037725699554435</v>
      </c>
      <c r="E48" s="2">
        <v>0.48567852837348008</v>
      </c>
      <c r="F48" s="2">
        <v>0.71378800837877832</v>
      </c>
      <c r="G48" s="2">
        <v>0.84389534501584196</v>
      </c>
    </row>
    <row r="49" spans="2:7" x14ac:dyDescent="0.2">
      <c r="B49" s="23" t="s">
        <v>64</v>
      </c>
      <c r="C49" s="221">
        <v>0.16299999999999998</v>
      </c>
      <c r="D49" s="221">
        <v>0.16500000000000001</v>
      </c>
      <c r="E49" s="221">
        <v>0.16500000000000001</v>
      </c>
      <c r="F49" s="221">
        <v>0.13</v>
      </c>
      <c r="G49" s="20">
        <v>0.13</v>
      </c>
    </row>
  </sheetData>
  <mergeCells count="1">
    <mergeCell ref="K5:N5"/>
  </mergeCells>
  <pageMargins left="0.7" right="0.7" top="0.75" bottom="0.75" header="0.3" footer="0.3"/>
  <pageSetup orientation="portrait" horizontalDpi="1200" verticalDpi="1200" r:id="rId1"/>
  <ignoredErrors>
    <ignoredError sqref="G6" numberStoredAsText="1"/>
    <ignoredError sqref="F10 L17:N1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21968-C066-4BF5-942F-94C954F964D1}">
  <dimension ref="A1:M62"/>
  <sheetViews>
    <sheetView showGridLines="0" workbookViewId="0">
      <selection activeCell="K2" sqref="K2"/>
    </sheetView>
  </sheetViews>
  <sheetFormatPr defaultRowHeight="12.75" x14ac:dyDescent="0.2"/>
  <cols>
    <col min="1" max="1" width="5.7109375" style="20" customWidth="1"/>
    <col min="2" max="2" width="52.85546875" style="20" customWidth="1"/>
    <col min="3" max="9" width="9.85546875" style="20" bestFit="1" customWidth="1"/>
    <col min="10" max="12" width="9.140625" style="20"/>
    <col min="13" max="13" width="9.140625" style="2"/>
    <col min="14" max="16384" width="9.140625" style="20"/>
  </cols>
  <sheetData>
    <row r="1" spans="1:12" x14ac:dyDescent="0.2">
      <c r="A1" s="180">
        <f>'2022 IR Data Book'!$A$5</f>
        <v>1</v>
      </c>
    </row>
    <row r="2" spans="1:12" ht="15.75" x14ac:dyDescent="0.25">
      <c r="B2" s="138" t="s">
        <v>65</v>
      </c>
    </row>
    <row r="5" spans="1:12" ht="15" x14ac:dyDescent="0.25">
      <c r="B5" s="21" t="s">
        <v>66</v>
      </c>
      <c r="C5" s="186" t="s">
        <v>67</v>
      </c>
      <c r="D5" s="186" t="s">
        <v>68</v>
      </c>
      <c r="E5" s="186" t="s">
        <v>69</v>
      </c>
      <c r="F5" s="186" t="s">
        <v>70</v>
      </c>
      <c r="G5" s="186" t="s">
        <v>71</v>
      </c>
      <c r="H5" s="186" t="s">
        <v>72</v>
      </c>
      <c r="I5" s="186" t="s">
        <v>285</v>
      </c>
    </row>
    <row r="6" spans="1:12" ht="15" x14ac:dyDescent="0.25">
      <c r="B6" s="21" t="s">
        <v>73</v>
      </c>
    </row>
    <row r="7" spans="1:12" x14ac:dyDescent="0.2">
      <c r="B7" s="20" t="s">
        <v>74</v>
      </c>
      <c r="C7" s="28">
        <f>957925*('2022 IR Data Book'!$A$5)</f>
        <v>957925</v>
      </c>
      <c r="D7" s="28">
        <f>963437*('2022 IR Data Book'!$A$5)</f>
        <v>963437</v>
      </c>
      <c r="E7" s="28">
        <f>980472*('2022 IR Data Book'!$A$5)</f>
        <v>980472</v>
      </c>
      <c r="F7" s="28">
        <f>941430*('2022 IR Data Book'!$A$5)</f>
        <v>941430</v>
      </c>
      <c r="G7" s="28">
        <f>918236*('2022 IR Data Book'!$A$5)</f>
        <v>918236</v>
      </c>
      <c r="H7" s="28">
        <f>894104.544664551*('2022 IR Data Book'!$A$5)</f>
        <v>894104.54466455104</v>
      </c>
      <c r="I7" s="28">
        <f>866980.218712385*('2022 IR Data Book'!$A$5)</f>
        <v>866980.21871238505</v>
      </c>
      <c r="L7" s="28"/>
    </row>
    <row r="8" spans="1:12" x14ac:dyDescent="0.2">
      <c r="B8" s="20" t="s">
        <v>75</v>
      </c>
      <c r="C8" s="28">
        <f>862334*('2022 IR Data Book'!$A$5)</f>
        <v>862334</v>
      </c>
      <c r="D8" s="28">
        <f>910988*('2022 IR Data Book'!$A$5)</f>
        <v>910988</v>
      </c>
      <c r="E8" s="28">
        <f>956865*('2022 IR Data Book'!$A$5)</f>
        <v>956865</v>
      </c>
      <c r="F8" s="28">
        <f>894266*('2022 IR Data Book'!$A$5)</f>
        <v>894266</v>
      </c>
      <c r="G8" s="28">
        <f>890902*('2022 IR Data Book'!$A$5)</f>
        <v>890902</v>
      </c>
      <c r="H8" s="28">
        <f>921554.993062863*('2022 IR Data Book'!$A$5)</f>
        <v>921554.99306286301</v>
      </c>
      <c r="I8" s="28">
        <f>894136.917651471*('2022 IR Data Book'!$A$5)</f>
        <v>894136.91765147098</v>
      </c>
      <c r="L8" s="28"/>
    </row>
    <row r="9" spans="1:12" x14ac:dyDescent="0.2">
      <c r="B9" s="20" t="s">
        <v>76</v>
      </c>
      <c r="C9" s="28">
        <f>1135511*('2022 IR Data Book'!$A$5)</f>
        <v>1135511</v>
      </c>
      <c r="D9" s="28">
        <f>1140170*('2022 IR Data Book'!$A$5)</f>
        <v>1140170</v>
      </c>
      <c r="E9" s="28">
        <f>1031265*('2022 IR Data Book'!$A$5)</f>
        <v>1031265</v>
      </c>
      <c r="F9" s="28">
        <f>1002568*('2022 IR Data Book'!$A$5)</f>
        <v>1002568</v>
      </c>
      <c r="G9" s="28">
        <f>1002568*('2022 IR Data Book'!$A$5)</f>
        <v>1002568</v>
      </c>
      <c r="H9" s="28">
        <f>1002568.07593687*('2022 IR Data Book'!$A$5)</f>
        <v>1002568.07593687</v>
      </c>
      <c r="I9" s="28">
        <f>1002568.07589721*('2022 IR Data Book'!$A$5)</f>
        <v>1002568.07589721</v>
      </c>
      <c r="L9" s="28"/>
    </row>
    <row r="10" spans="1:12" x14ac:dyDescent="0.2">
      <c r="B10" s="20" t="s">
        <v>77</v>
      </c>
      <c r="C10" s="28">
        <f>214565*('2022 IR Data Book'!$A$5)</f>
        <v>214565</v>
      </c>
      <c r="D10" s="28">
        <f>212727*('2022 IR Data Book'!$A$5)</f>
        <v>212727</v>
      </c>
      <c r="E10" s="28">
        <f>212034*('2022 IR Data Book'!$A$5)</f>
        <v>212034</v>
      </c>
      <c r="F10" s="28">
        <f>201255*('2022 IR Data Book'!$A$5)</f>
        <v>201255</v>
      </c>
      <c r="G10" s="28">
        <f>200563*('2022 IR Data Book'!$A$5)</f>
        <v>200563</v>
      </c>
      <c r="H10" s="28">
        <f>199872.416294696*('2022 IR Data Book'!$A$5)</f>
        <v>199872.41629469601</v>
      </c>
      <c r="I10" s="28">
        <f>199184.256569187*('2022 IR Data Book'!$A$5)</f>
        <v>199184.25656918701</v>
      </c>
      <c r="L10" s="28"/>
    </row>
    <row r="11" spans="1:12" x14ac:dyDescent="0.2">
      <c r="B11" s="20" t="s">
        <v>78</v>
      </c>
      <c r="C11" s="28">
        <f>37815*('2022 IR Data Book'!$A$5)</f>
        <v>37815</v>
      </c>
      <c r="D11" s="28">
        <f>42848*('2022 IR Data Book'!$A$5)</f>
        <v>42848</v>
      </c>
      <c r="E11" s="28">
        <f>35984*('2022 IR Data Book'!$A$5)</f>
        <v>35984</v>
      </c>
      <c r="F11" s="28">
        <f>37448.2731596125*('2022 IR Data Book'!$A$5)</f>
        <v>37448.273159612501</v>
      </c>
      <c r="G11" s="28">
        <f>40904*('2022 IR Data Book'!$A$5)</f>
        <v>40904</v>
      </c>
      <c r="H11" s="28">
        <f>34374.6759942848*('2022 IR Data Book'!$A$5)</f>
        <v>34374.6759942848</v>
      </c>
      <c r="I11" s="28">
        <f>33022.3487900181*('2022 IR Data Book'!$A$5)</f>
        <v>33022.348790018099</v>
      </c>
      <c r="L11" s="28"/>
    </row>
    <row r="12" spans="1:12" ht="25.5" x14ac:dyDescent="0.2">
      <c r="B12" s="42" t="s">
        <v>79</v>
      </c>
      <c r="C12" s="28">
        <f>23546*('2022 IR Data Book'!$A$5)</f>
        <v>23546</v>
      </c>
      <c r="D12" s="28">
        <f>23522*('2022 IR Data Book'!$A$5)</f>
        <v>23522</v>
      </c>
      <c r="E12" s="28">
        <f>17244*('2022 IR Data Book'!$A$5)</f>
        <v>17244</v>
      </c>
      <c r="F12" s="28">
        <f>17638*('2022 IR Data Book'!$A$5)</f>
        <v>17638</v>
      </c>
      <c r="G12" s="28">
        <f>17772*('2022 IR Data Book'!$A$5)</f>
        <v>17772</v>
      </c>
      <c r="H12" s="28">
        <f>17613.6880596444*('2022 IR Data Book'!$A$5)</f>
        <v>17613.688059644399</v>
      </c>
      <c r="I12" s="28">
        <f>17566.1948018073*('2022 IR Data Book'!$A$5)</f>
        <v>17566.194801807302</v>
      </c>
      <c r="L12" s="28"/>
    </row>
    <row r="13" spans="1:12" x14ac:dyDescent="0.2">
      <c r="B13" s="42" t="s">
        <v>80</v>
      </c>
      <c r="C13" s="28">
        <f>7588*('2022 IR Data Book'!$A$5)</f>
        <v>7588</v>
      </c>
      <c r="D13" s="28">
        <f>7601*('2022 IR Data Book'!$A$5)</f>
        <v>7601</v>
      </c>
      <c r="E13" s="28">
        <f>7275*('2022 IR Data Book'!$A$5)</f>
        <v>7275</v>
      </c>
      <c r="F13" s="28">
        <f>8006*('2022 IR Data Book'!$A$5)</f>
        <v>8006</v>
      </c>
      <c r="G13" s="28">
        <f>7971*('2022 IR Data Book'!$A$5)</f>
        <v>7971</v>
      </c>
      <c r="H13" s="28">
        <f>21150.4841613572*('2022 IR Data Book'!$A$5)</f>
        <v>21150.484161357199</v>
      </c>
      <c r="I13" s="28">
        <f>21022.0845693825*('2022 IR Data Book'!$A$5)</f>
        <v>21022.084569382499</v>
      </c>
      <c r="L13" s="28"/>
    </row>
    <row r="14" spans="1:12" x14ac:dyDescent="0.2">
      <c r="B14" s="20" t="s">
        <v>81</v>
      </c>
      <c r="C14" s="28">
        <f>4572*('2022 IR Data Book'!$A$5)</f>
        <v>4572</v>
      </c>
      <c r="D14" s="28">
        <f>3834*('2022 IR Data Book'!$A$5)</f>
        <v>3834</v>
      </c>
      <c r="E14" s="28">
        <f>3700*('2022 IR Data Book'!$A$5)</f>
        <v>3700</v>
      </c>
      <c r="F14" s="28">
        <f>4115*('2022 IR Data Book'!$A$5)</f>
        <v>4115</v>
      </c>
      <c r="G14" s="28">
        <f>4099*('2022 IR Data Book'!$A$5)</f>
        <v>4099</v>
      </c>
      <c r="H14" s="28">
        <f>3531.41643549816*('2022 IR Data Book'!$A$5)</f>
        <v>3531.4164354981599</v>
      </c>
      <c r="I14" s="28">
        <f>3394.74308190623*('2022 IR Data Book'!$A$5)</f>
        <v>3394.7430819062301</v>
      </c>
      <c r="L14" s="28"/>
    </row>
    <row r="15" spans="1:12" ht="15.75" thickBot="1" x14ac:dyDescent="0.3">
      <c r="C15" s="43">
        <f t="shared" ref="C15:E15" si="0">SUM(C7:C14)</f>
        <v>3243856</v>
      </c>
      <c r="D15" s="43">
        <f t="shared" si="0"/>
        <v>3305127</v>
      </c>
      <c r="E15" s="43">
        <f t="shared" si="0"/>
        <v>3244839</v>
      </c>
      <c r="F15" s="43">
        <f>SUM(F7:F14)</f>
        <v>3106726.2731596124</v>
      </c>
      <c r="G15" s="43">
        <f>SUM(G7:G14)</f>
        <v>3083015</v>
      </c>
      <c r="H15" s="43">
        <f>SUM(H7:H14)</f>
        <v>3094770.2946097651</v>
      </c>
      <c r="I15" s="43">
        <f>SUM(I7:I14)</f>
        <v>3037874.8400733671</v>
      </c>
      <c r="L15" s="28"/>
    </row>
    <row r="16" spans="1:12" ht="15" x14ac:dyDescent="0.25">
      <c r="B16" s="21" t="s">
        <v>82</v>
      </c>
      <c r="C16" s="28"/>
      <c r="D16" s="28"/>
      <c r="E16" s="28"/>
      <c r="F16" s="28"/>
      <c r="G16" s="28"/>
      <c r="H16" s="28"/>
      <c r="I16" s="28"/>
      <c r="L16" s="28"/>
    </row>
    <row r="17" spans="2:12" x14ac:dyDescent="0.2">
      <c r="B17" s="20" t="s">
        <v>83</v>
      </c>
      <c r="C17" s="28">
        <f>1072585*('2022 IR Data Book'!$A$5)</f>
        <v>1072585</v>
      </c>
      <c r="D17" s="28">
        <f>1142044*('2022 IR Data Book'!$A$5)</f>
        <v>1142044</v>
      </c>
      <c r="E17" s="28">
        <f>1076168*('2022 IR Data Book'!$A$5)</f>
        <v>1076168</v>
      </c>
      <c r="F17" s="28">
        <f>1219422*('2022 IR Data Book'!$A$5)</f>
        <v>1219422</v>
      </c>
      <c r="G17" s="28">
        <f>1164185*('2022 IR Data Book'!$A$5)</f>
        <v>1164185</v>
      </c>
      <c r="H17" s="28">
        <f>1144011.21590874*('2022 IR Data Book'!$A$5)</f>
        <v>1144011.2159087399</v>
      </c>
      <c r="I17" s="28">
        <f>1095736.37086374*('2022 IR Data Book'!$A$5)</f>
        <v>1095736.3708637401</v>
      </c>
      <c r="L17" s="28"/>
    </row>
    <row r="18" spans="2:12" x14ac:dyDescent="0.2">
      <c r="B18" s="20" t="s">
        <v>84</v>
      </c>
      <c r="C18" s="28">
        <f>296178*('2022 IR Data Book'!$A$5)</f>
        <v>296178</v>
      </c>
      <c r="D18" s="28">
        <f>305444*('2022 IR Data Book'!$A$5)</f>
        <v>305444</v>
      </c>
      <c r="E18" s="28">
        <f>353365*('2022 IR Data Book'!$A$5)</f>
        <v>353365</v>
      </c>
      <c r="F18" s="28">
        <f>293709*('2022 IR Data Book'!$A$5)</f>
        <v>293709</v>
      </c>
      <c r="G18" s="28">
        <f>310784*('2022 IR Data Book'!$A$5)</f>
        <v>310784</v>
      </c>
      <c r="H18" s="28">
        <f>312682.133407311*('2022 IR Data Book'!$A$5)</f>
        <v>312682.13340731099</v>
      </c>
      <c r="I18" s="28">
        <f>270662.67988231*('2022 IR Data Book'!$A$5)</f>
        <v>270662.67988230998</v>
      </c>
      <c r="L18" s="28"/>
    </row>
    <row r="19" spans="2:12" x14ac:dyDescent="0.2">
      <c r="B19" s="20" t="s">
        <v>85</v>
      </c>
      <c r="C19" s="28">
        <f>251949*('2022 IR Data Book'!$A$5)</f>
        <v>251949</v>
      </c>
      <c r="D19" s="28">
        <f>61854*('2022 IR Data Book'!$A$5)</f>
        <v>61854</v>
      </c>
      <c r="E19" s="28">
        <f>372533*('2022 IR Data Book'!$A$5)</f>
        <v>372533</v>
      </c>
      <c r="F19" s="28">
        <f>57641*('2022 IR Data Book'!$A$5)</f>
        <v>57641</v>
      </c>
      <c r="G19" s="28">
        <f>57972*('2022 IR Data Book'!$A$5)</f>
        <v>57972</v>
      </c>
      <c r="H19" s="28">
        <f>10502.4383133088*('2022 IR Data Book'!$A$5)</f>
        <v>10502.438313308799</v>
      </c>
      <c r="I19" s="28">
        <f>10683.5332031424*('2022 IR Data Book'!$A$5)</f>
        <v>10683.5332031424</v>
      </c>
      <c r="L19" s="28"/>
    </row>
    <row r="20" spans="2:12" x14ac:dyDescent="0.2">
      <c r="B20" s="20" t="s">
        <v>86</v>
      </c>
      <c r="C20" s="28">
        <f>798722*('2022 IR Data Book'!$A$5)</f>
        <v>798722</v>
      </c>
      <c r="D20" s="28">
        <f>842966*('2022 IR Data Book'!$A$5)</f>
        <v>842966</v>
      </c>
      <c r="E20" s="28">
        <f>778329*('2022 IR Data Book'!$A$5)</f>
        <v>778329</v>
      </c>
      <c r="F20" s="28">
        <f>711800*('2022 IR Data Book'!$A$5)</f>
        <v>711800</v>
      </c>
      <c r="G20" s="28">
        <f>704333*('2022 IR Data Book'!$A$5)</f>
        <v>704333</v>
      </c>
      <c r="H20" s="28">
        <f>581871.5*('2022 IR Data Book'!$A$5)</f>
        <v>581871.5</v>
      </c>
      <c r="I20" s="28">
        <f>624511.215208246*('2022 IR Data Book'!$A$5)</f>
        <v>624511.21520824602</v>
      </c>
      <c r="L20" s="28"/>
    </row>
    <row r="21" spans="2:12" ht="15.75" thickBot="1" x14ac:dyDescent="0.3">
      <c r="C21" s="43">
        <f t="shared" ref="C21:E21" si="1">SUM(C17:C20)</f>
        <v>2419434</v>
      </c>
      <c r="D21" s="43">
        <f t="shared" si="1"/>
        <v>2352308</v>
      </c>
      <c r="E21" s="43">
        <f t="shared" si="1"/>
        <v>2580395</v>
      </c>
      <c r="F21" s="43">
        <f>SUM(F17:F20)</f>
        <v>2282572</v>
      </c>
      <c r="G21" s="43">
        <f>SUM(G17:G20)</f>
        <v>2237274</v>
      </c>
      <c r="H21" s="43">
        <f>SUM(H17:H20)</f>
        <v>2049067.2876293599</v>
      </c>
      <c r="I21" s="43">
        <f>SUM(I17:I20)</f>
        <v>2001593.7991574388</v>
      </c>
      <c r="K21" s="28"/>
      <c r="L21" s="28"/>
    </row>
    <row r="22" spans="2:12" x14ac:dyDescent="0.2">
      <c r="B22" s="20" t="s">
        <v>87</v>
      </c>
      <c r="C22" s="28">
        <f>223270*('2022 IR Data Book'!$A$5)</f>
        <v>223270</v>
      </c>
      <c r="D22" s="28">
        <f>222236*('2022 IR Data Book'!$A$5)</f>
        <v>222236</v>
      </c>
      <c r="E22" s="28">
        <f>10796*('2022 IR Data Book'!$A$5)</f>
        <v>10796</v>
      </c>
      <c r="F22" s="28">
        <f>10650*('2022 IR Data Book'!$A$5)</f>
        <v>10650</v>
      </c>
      <c r="G22" s="28">
        <f>6706*('2022 IR Data Book'!$A$5)</f>
        <v>6706</v>
      </c>
      <c r="H22" s="28">
        <f>4600.82545261298*('2022 IR Data Book'!$A$5)</f>
        <v>4600.8254526129804</v>
      </c>
      <c r="I22" s="28">
        <f>7992.15309642213*('2022 IR Data Book'!$A$5)</f>
        <v>7992.1530964221301</v>
      </c>
      <c r="L22" s="28"/>
    </row>
    <row r="23" spans="2:12" ht="15.75" thickBot="1" x14ac:dyDescent="0.3">
      <c r="B23" s="21" t="s">
        <v>88</v>
      </c>
      <c r="C23" s="44">
        <f t="shared" ref="C23:E23" si="2">C15+C21+C22</f>
        <v>5886560</v>
      </c>
      <c r="D23" s="44">
        <f t="shared" si="2"/>
        <v>5879671</v>
      </c>
      <c r="E23" s="44">
        <f t="shared" si="2"/>
        <v>5836030</v>
      </c>
      <c r="F23" s="44">
        <f>F15+F21+F22</f>
        <v>5399948.273159612</v>
      </c>
      <c r="G23" s="44">
        <f>G15+G21+G22</f>
        <v>5326995</v>
      </c>
      <c r="H23" s="44">
        <f>H15+H21+H22</f>
        <v>5148438.4076917376</v>
      </c>
      <c r="I23" s="44">
        <f>I15+I21+I22</f>
        <v>5047460.7923272289</v>
      </c>
      <c r="L23" s="28"/>
    </row>
    <row r="24" spans="2:12" ht="13.5" thickTop="1" x14ac:dyDescent="0.2">
      <c r="C24" s="28"/>
      <c r="D24" s="28"/>
      <c r="E24" s="28"/>
      <c r="F24" s="28"/>
      <c r="G24" s="28"/>
      <c r="H24" s="28"/>
      <c r="I24" s="28"/>
      <c r="L24" s="28"/>
    </row>
    <row r="25" spans="2:12" ht="15" x14ac:dyDescent="0.25">
      <c r="B25" s="21" t="s">
        <v>89</v>
      </c>
      <c r="L25" s="28"/>
    </row>
    <row r="26" spans="2:12" x14ac:dyDescent="0.2">
      <c r="B26" s="20" t="s">
        <v>90</v>
      </c>
      <c r="C26" s="28">
        <f>1464100*('2022 IR Data Book'!$A$5)</f>
        <v>1464100</v>
      </c>
      <c r="D26" s="28">
        <f>1464100*('2022 IR Data Book'!$A$5)</f>
        <v>1464100</v>
      </c>
      <c r="E26" s="28">
        <f>1464100*('2022 IR Data Book'!$A$5)</f>
        <v>1464100</v>
      </c>
      <c r="F26" s="28">
        <f>1464100*('2022 IR Data Book'!$A$5)</f>
        <v>1464100</v>
      </c>
      <c r="G26" s="28">
        <f>1464100*('2022 IR Data Book'!$A$5)</f>
        <v>1464100</v>
      </c>
      <c r="H26" s="28">
        <f>1464100.0005029*('2022 IR Data Book'!$A$5)</f>
        <v>1464100.0005029</v>
      </c>
      <c r="I26" s="28">
        <f>1464100.0005029*('2022 IR Data Book'!$A$5)</f>
        <v>1464100.0005029</v>
      </c>
      <c r="L26" s="28"/>
    </row>
    <row r="27" spans="2:12" x14ac:dyDescent="0.2">
      <c r="B27" s="20" t="s">
        <v>91</v>
      </c>
      <c r="C27" s="28">
        <f>408929*('2022 IR Data Book'!$A$5)</f>
        <v>408929</v>
      </c>
      <c r="D27" s="28">
        <f>408929*('2022 IR Data Book'!$A$5)</f>
        <v>408929</v>
      </c>
      <c r="E27" s="28">
        <f>(387956)*('2022 IR Data Book'!$A$5)</f>
        <v>387956</v>
      </c>
      <c r="F27" s="28">
        <f>440802*('2022 IR Data Book'!$A$5)</f>
        <v>440802</v>
      </c>
      <c r="G27" s="28">
        <f>440802*('2022 IR Data Book'!$A$5)</f>
        <v>440802</v>
      </c>
      <c r="H27" s="28">
        <f>440802.007164254*('2022 IR Data Book'!$A$5)</f>
        <v>440802.00716425403</v>
      </c>
      <c r="I27" s="28">
        <f>440802.009766593*('2022 IR Data Book'!$A$5)</f>
        <v>440802.00976659299</v>
      </c>
      <c r="L27" s="28"/>
    </row>
    <row r="28" spans="2:12" x14ac:dyDescent="0.2">
      <c r="B28" s="20" t="s">
        <v>92</v>
      </c>
      <c r="C28" s="28">
        <f>-346490*('2022 IR Data Book'!$A$5)</f>
        <v>-346490</v>
      </c>
      <c r="D28" s="28">
        <f>-330959*('2022 IR Data Book'!$A$5)</f>
        <v>-330959</v>
      </c>
      <c r="E28" s="28">
        <f>-245213*('2022 IR Data Book'!$A$5)</f>
        <v>-245213</v>
      </c>
      <c r="F28" s="28">
        <f>-398529*('2022 IR Data Book'!$A$5)</f>
        <v>-398529</v>
      </c>
      <c r="G28" s="28">
        <f>-434219*('2022 IR Data Book'!$A$5)</f>
        <v>-434219</v>
      </c>
      <c r="H28" s="28">
        <f>-440973.294269109*('2022 IR Data Book'!$A$5)</f>
        <v>-440973.29426910903</v>
      </c>
      <c r="I28" s="28">
        <f>-458575.470851612*('2022 IR Data Book'!$A$5)</f>
        <v>-458575.47085161199</v>
      </c>
      <c r="L28" s="28"/>
    </row>
    <row r="29" spans="2:12" x14ac:dyDescent="0.2">
      <c r="B29" s="20" t="s">
        <v>93</v>
      </c>
      <c r="C29" s="28">
        <f>-335186*('2022 IR Data Book'!$A$5)</f>
        <v>-335186</v>
      </c>
      <c r="D29" s="28">
        <f>-335186*('2022 IR Data Book'!$A$5)</f>
        <v>-335186</v>
      </c>
      <c r="E29" s="28">
        <f>(-329759)*('2022 IR Data Book'!$A$5)</f>
        <v>-329759</v>
      </c>
      <c r="F29" s="28">
        <f>-329759*('2022 IR Data Book'!$A$5)</f>
        <v>-329759</v>
      </c>
      <c r="G29" s="28">
        <f>-329759*('2022 IR Data Book'!$A$5)</f>
        <v>-329759</v>
      </c>
      <c r="H29" s="28">
        <f>-329758.835389051*('2022 IR Data Book'!$A$5)</f>
        <v>-329758.835389051</v>
      </c>
      <c r="I29" s="28">
        <f>-329758.835389051*('2022 IR Data Book'!$A$5)</f>
        <v>-329758.835389051</v>
      </c>
      <c r="L29" s="28"/>
    </row>
    <row r="30" spans="2:12" x14ac:dyDescent="0.2">
      <c r="B30" s="20" t="s">
        <v>94</v>
      </c>
      <c r="C30" s="28">
        <f>-7123*('2022 IR Data Book'!$A$5)</f>
        <v>-7123</v>
      </c>
      <c r="D30" s="28">
        <f>-7148*('2022 IR Data Book'!$A$5)</f>
        <v>-7148</v>
      </c>
      <c r="E30" s="28">
        <f>-12372*('2022 IR Data Book'!$A$5)</f>
        <v>-12372</v>
      </c>
      <c r="F30" s="28">
        <f>-12008*('2022 IR Data Book'!$A$5)</f>
        <v>-12008</v>
      </c>
      <c r="G30" s="28">
        <f>-11881*('2022 IR Data Book'!$A$5)</f>
        <v>-11881</v>
      </c>
      <c r="H30" s="28">
        <f>-12015.4950132358*('2022 IR Data Book'!$A$5)</f>
        <v>-12015.495013235801</v>
      </c>
      <c r="I30" s="28">
        <f>-12031.0908187677*('2022 IR Data Book'!$A$5)</f>
        <v>-12031.0908187677</v>
      </c>
      <c r="L30" s="28"/>
    </row>
    <row r="31" spans="2:12" x14ac:dyDescent="0.2">
      <c r="B31" s="20" t="s">
        <v>95</v>
      </c>
      <c r="C31" s="36">
        <f>1549217*('2022 IR Data Book'!$A$5)</f>
        <v>1549217</v>
      </c>
      <c r="D31" s="36">
        <f>1424350*('2022 IR Data Book'!$A$5)</f>
        <v>1424350</v>
      </c>
      <c r="E31" s="36">
        <f>1507169*('2022 IR Data Book'!$A$5)</f>
        <v>1507169</v>
      </c>
      <c r="F31" s="36">
        <f>1500570*('2022 IR Data Book'!$A$5)</f>
        <v>1500570</v>
      </c>
      <c r="G31" s="36">
        <f>1547872*('2022 IR Data Book'!$A$5)</f>
        <v>1547872</v>
      </c>
      <c r="H31" s="36">
        <f>1402107.88355813*('2022 IR Data Book'!$A$5)</f>
        <v>1402107.8835581299</v>
      </c>
      <c r="I31" s="36">
        <f>1441751.34506467*('2022 IR Data Book'!$A$5)</f>
        <v>1441751.3450646701</v>
      </c>
      <c r="L31" s="28"/>
    </row>
    <row r="32" spans="2:12" x14ac:dyDescent="0.2">
      <c r="C32" s="28"/>
      <c r="D32" s="28"/>
      <c r="E32" s="28"/>
      <c r="F32" s="28"/>
      <c r="G32" s="28"/>
      <c r="H32" s="28"/>
      <c r="I32" s="28"/>
      <c r="L32" s="28"/>
    </row>
    <row r="33" spans="2:12" ht="15" x14ac:dyDescent="0.25">
      <c r="B33" s="21" t="s">
        <v>96</v>
      </c>
      <c r="C33" s="28">
        <f>(SUM(C26:C32))</f>
        <v>2733447</v>
      </c>
      <c r="D33" s="28">
        <f t="shared" ref="D33:H33" si="3">(SUM(D26:D32))</f>
        <v>2624086</v>
      </c>
      <c r="E33" s="28">
        <f t="shared" si="3"/>
        <v>2771881</v>
      </c>
      <c r="F33" s="28">
        <f t="shared" si="3"/>
        <v>2665176</v>
      </c>
      <c r="G33" s="28">
        <f t="shared" si="3"/>
        <v>2676915</v>
      </c>
      <c r="H33" s="28">
        <f t="shared" si="3"/>
        <v>2524262.2665538881</v>
      </c>
      <c r="I33" s="28">
        <f t="shared" ref="I33" si="4">(SUM(I26:I32))</f>
        <v>2546287.9582747323</v>
      </c>
      <c r="L33" s="28"/>
    </row>
    <row r="34" spans="2:12" x14ac:dyDescent="0.2">
      <c r="B34" s="20" t="s">
        <v>97</v>
      </c>
      <c r="C34" s="28">
        <f>14620*('2022 IR Data Book'!$A$5)</f>
        <v>14620</v>
      </c>
      <c r="D34" s="28">
        <f>14046*('2022 IR Data Book'!$A$5)</f>
        <v>14046</v>
      </c>
      <c r="E34" s="28">
        <f>11564*('2022 IR Data Book'!$A$5)</f>
        <v>11564</v>
      </c>
      <c r="F34" s="28">
        <f>10817*('2022 IR Data Book'!$A$5)</f>
        <v>10817</v>
      </c>
      <c r="G34" s="28">
        <f>10634*('2022 IR Data Book'!$A$5)</f>
        <v>10634</v>
      </c>
      <c r="H34" s="28">
        <f>9944.41812074526*('2022 IR Data Book'!$A$5)</f>
        <v>9944.4181207452602</v>
      </c>
      <c r="I34" s="28">
        <f>9251.50572697743*('2022 IR Data Book'!$A$5)</f>
        <v>9251.5057269774297</v>
      </c>
      <c r="L34" s="28"/>
    </row>
    <row r="35" spans="2:12" ht="15.75" thickBot="1" x14ac:dyDescent="0.3">
      <c r="B35" s="21" t="s">
        <v>98</v>
      </c>
      <c r="C35" s="43">
        <f t="shared" ref="C35:E35" si="5">SUM(C33:C34)</f>
        <v>2748067</v>
      </c>
      <c r="D35" s="43">
        <f t="shared" si="5"/>
        <v>2638132</v>
      </c>
      <c r="E35" s="43">
        <f t="shared" si="5"/>
        <v>2783445</v>
      </c>
      <c r="F35" s="43">
        <f>SUM(F33:F34)</f>
        <v>2675993</v>
      </c>
      <c r="G35" s="43">
        <f>SUM(G33:G34)</f>
        <v>2687549</v>
      </c>
      <c r="H35" s="43">
        <f>SUM(H33:H34)</f>
        <v>2534206.6846746332</v>
      </c>
      <c r="I35" s="43">
        <f>SUM(I33:I34)</f>
        <v>2555539.4640017096</v>
      </c>
      <c r="L35" s="28"/>
    </row>
    <row r="36" spans="2:12" x14ac:dyDescent="0.2">
      <c r="C36" s="28"/>
      <c r="D36" s="28"/>
      <c r="E36" s="28"/>
      <c r="F36" s="28"/>
      <c r="G36" s="28"/>
      <c r="H36" s="28"/>
      <c r="I36" s="28"/>
      <c r="L36" s="28"/>
    </row>
    <row r="37" spans="2:12" ht="15" x14ac:dyDescent="0.25">
      <c r="B37" s="21" t="s">
        <v>99</v>
      </c>
      <c r="C37" s="28"/>
      <c r="D37" s="28"/>
      <c r="E37" s="28"/>
      <c r="F37" s="28"/>
      <c r="G37" s="28"/>
      <c r="H37" s="28"/>
      <c r="I37" s="28"/>
      <c r="L37" s="28"/>
    </row>
    <row r="38" spans="2:12" ht="15" x14ac:dyDescent="0.25">
      <c r="B38" s="21" t="s">
        <v>100</v>
      </c>
      <c r="C38" s="28"/>
      <c r="D38" s="28"/>
      <c r="E38" s="28"/>
      <c r="F38" s="28"/>
      <c r="G38" s="28"/>
      <c r="H38" s="28"/>
      <c r="I38" s="28"/>
      <c r="L38" s="28"/>
    </row>
    <row r="39" spans="2:12" x14ac:dyDescent="0.2">
      <c r="B39" s="20" t="s">
        <v>101</v>
      </c>
      <c r="C39" s="28">
        <f>155368*('2022 IR Data Book'!$A$5)</f>
        <v>155368</v>
      </c>
      <c r="D39" s="28">
        <f>146488*('2022 IR Data Book'!$A$5)</f>
        <v>146488</v>
      </c>
      <c r="E39" s="28">
        <f>139069*('2022 IR Data Book'!$A$5)</f>
        <v>139069</v>
      </c>
      <c r="F39" s="28">
        <f>137259*('2022 IR Data Book'!$A$5)</f>
        <v>137259</v>
      </c>
      <c r="G39" s="28">
        <f>137922*('2022 IR Data Book'!$A$5)</f>
        <v>137922</v>
      </c>
      <c r="H39" s="28">
        <f>122172.398073862*('2022 IR Data Book'!$A$5)</f>
        <v>122172.398073862</v>
      </c>
      <c r="I39" s="28">
        <f>110045.869283579*('2022 IR Data Book'!$A$5)</f>
        <v>110045.869283579</v>
      </c>
      <c r="L39" s="28"/>
    </row>
    <row r="40" spans="2:12" x14ac:dyDescent="0.2">
      <c r="B40" s="20" t="s">
        <v>102</v>
      </c>
      <c r="C40" s="28">
        <f>669312*('2022 IR Data Book'!$A$5)</f>
        <v>669312</v>
      </c>
      <c r="D40" s="28">
        <f>720024*('2022 IR Data Book'!$A$5)</f>
        <v>720024</v>
      </c>
      <c r="E40" s="28">
        <f>730981*('2022 IR Data Book'!$A$5)</f>
        <v>730981</v>
      </c>
      <c r="F40" s="28">
        <f>754933*('2022 IR Data Book'!$A$5)</f>
        <v>754933</v>
      </c>
      <c r="G40" s="28">
        <f>744238*('2022 IR Data Book'!$A$5)</f>
        <v>744238</v>
      </c>
      <c r="H40" s="28">
        <f>794947.789637232*('2022 IR Data Book'!$A$5)</f>
        <v>794947.78963723197</v>
      </c>
      <c r="I40" s="28">
        <f>774058.801887165*('2022 IR Data Book'!$A$5)</f>
        <v>774058.80188716506</v>
      </c>
      <c r="L40" s="28"/>
    </row>
    <row r="41" spans="2:12" x14ac:dyDescent="0.2">
      <c r="B41" s="20" t="s">
        <v>103</v>
      </c>
      <c r="C41" s="28">
        <f>152120*('2022 IR Data Book'!$A$5)</f>
        <v>152120</v>
      </c>
      <c r="D41" s="28">
        <f>151634*('2022 IR Data Book'!$A$5)</f>
        <v>151634</v>
      </c>
      <c r="E41" s="28">
        <f>151071*('2022 IR Data Book'!$A$5)</f>
        <v>151071</v>
      </c>
      <c r="F41" s="28">
        <f>148822*('2022 IR Data Book'!$A$5)</f>
        <v>148822</v>
      </c>
      <c r="G41" s="28">
        <f>148248*('2022 IR Data Book'!$A$5)</f>
        <v>148248</v>
      </c>
      <c r="H41" s="28">
        <f>152316.131298976*('2022 IR Data Book'!$A$5)</f>
        <v>152316.13129897599</v>
      </c>
      <c r="I41" s="28">
        <f>154912.371507284*('2022 IR Data Book'!$A$5)</f>
        <v>154912.371507284</v>
      </c>
      <c r="J41" s="28"/>
      <c r="L41" s="28"/>
    </row>
    <row r="42" spans="2:12" x14ac:dyDescent="0.2">
      <c r="B42" s="20" t="s">
        <v>104</v>
      </c>
      <c r="C42" s="28">
        <f>58340*('2022 IR Data Book'!$A$5)</f>
        <v>58340</v>
      </c>
      <c r="D42" s="28">
        <f>60872*('2022 IR Data Book'!$A$5)</f>
        <v>60872</v>
      </c>
      <c r="E42" s="28">
        <f>67701*('2022 IR Data Book'!$A$5)</f>
        <v>67701</v>
      </c>
      <c r="F42" s="28">
        <f>42114*('2022 IR Data Book'!$A$5)</f>
        <v>42114</v>
      </c>
      <c r="G42" s="28">
        <f>41398*('2022 IR Data Book'!$A$5)</f>
        <v>41398</v>
      </c>
      <c r="H42" s="28">
        <f>37510.7120458181*('2022 IR Data Book'!$A$5)</f>
        <v>37510.712045818102</v>
      </c>
      <c r="I42" s="28">
        <f>31682.782300513*('2022 IR Data Book'!$A$5)</f>
        <v>31682.782300513001</v>
      </c>
      <c r="L42" s="28"/>
    </row>
    <row r="43" spans="2:12" x14ac:dyDescent="0.2">
      <c r="B43" s="20" t="s">
        <v>105</v>
      </c>
      <c r="C43" s="28">
        <f>0*('2022 IR Data Book'!$A$5)</f>
        <v>0</v>
      </c>
      <c r="D43" s="28">
        <f>0*('2022 IR Data Book'!$A$5)</f>
        <v>0</v>
      </c>
      <c r="E43" s="28">
        <f>18964*('2022 IR Data Book'!$A$5)</f>
        <v>18964</v>
      </c>
      <c r="F43" s="28">
        <f>18305*('2022 IR Data Book'!$A$5)</f>
        <v>18305</v>
      </c>
      <c r="G43" s="28">
        <f>18047*('2022 IR Data Book'!$A$5)</f>
        <v>18047</v>
      </c>
      <c r="H43" s="28">
        <f>15709.402135929*('2022 IR Data Book'!$A$5)</f>
        <v>15709.402135929</v>
      </c>
      <c r="I43" s="28">
        <f>13870.2658370159*('2022 IR Data Book'!$A$5)</f>
        <v>13870.265837015901</v>
      </c>
      <c r="L43" s="28"/>
    </row>
    <row r="44" spans="2:12" ht="15.75" thickBot="1" x14ac:dyDescent="0.3">
      <c r="C44" s="43">
        <f t="shared" ref="C44:E44" si="6">SUM(C39:C43)</f>
        <v>1035140</v>
      </c>
      <c r="D44" s="43">
        <f t="shared" si="6"/>
        <v>1079018</v>
      </c>
      <c r="E44" s="43">
        <f t="shared" si="6"/>
        <v>1107786</v>
      </c>
      <c r="F44" s="43">
        <f>SUM(F39:F43)</f>
        <v>1101433</v>
      </c>
      <c r="G44" s="43">
        <f>SUM(G39:G43)</f>
        <v>1089853</v>
      </c>
      <c r="H44" s="43">
        <f>SUM(H39:H43)</f>
        <v>1122656.433191817</v>
      </c>
      <c r="I44" s="43">
        <f>SUM(I39:I43)</f>
        <v>1084570.0908155569</v>
      </c>
      <c r="L44" s="28"/>
    </row>
    <row r="45" spans="2:12" ht="15" x14ac:dyDescent="0.25">
      <c r="B45" s="21" t="s">
        <v>106</v>
      </c>
      <c r="C45" s="28"/>
      <c r="D45" s="28"/>
      <c r="E45" s="28"/>
      <c r="F45" s="28"/>
      <c r="G45" s="28"/>
      <c r="H45" s="28"/>
      <c r="I45" s="28"/>
      <c r="L45" s="28"/>
    </row>
    <row r="46" spans="2:12" x14ac:dyDescent="0.2">
      <c r="B46" s="20" t="s">
        <v>107</v>
      </c>
      <c r="C46" s="28">
        <f>301582*('2022 IR Data Book'!$A$5)</f>
        <v>301582</v>
      </c>
      <c r="D46" s="28">
        <f>318984*('2022 IR Data Book'!$A$5)</f>
        <v>318984</v>
      </c>
      <c r="E46" s="28">
        <f>296363*('2022 IR Data Book'!$A$5)</f>
        <v>296363</v>
      </c>
      <c r="F46" s="28">
        <f>344120*('2022 IR Data Book'!$A$5)</f>
        <v>344120</v>
      </c>
      <c r="G46" s="28">
        <f>311248*('2022 IR Data Book'!$A$5)</f>
        <v>311248</v>
      </c>
      <c r="H46" s="28">
        <f>270356.066055253*('2022 IR Data Book'!$A$5)</f>
        <v>270356.06605525297</v>
      </c>
      <c r="I46" s="28">
        <f>250079.639366778*('2022 IR Data Book'!$A$5)</f>
        <v>250079.63936677799</v>
      </c>
      <c r="L46" s="28"/>
    </row>
    <row r="47" spans="2:12" x14ac:dyDescent="0.2">
      <c r="B47" s="20" t="s">
        <v>102</v>
      </c>
      <c r="C47" s="28">
        <f>171726*('2022 IR Data Book'!$A$5)</f>
        <v>171726</v>
      </c>
      <c r="D47" s="28">
        <f>166802*('2022 IR Data Book'!$A$5)</f>
        <v>166802</v>
      </c>
      <c r="E47" s="28">
        <f>179242*('2022 IR Data Book'!$A$5)</f>
        <v>179242</v>
      </c>
      <c r="F47" s="28">
        <f>180382*('2022 IR Data Book'!$A$5)</f>
        <v>180382</v>
      </c>
      <c r="G47" s="28">
        <f>185454*('2022 IR Data Book'!$A$5)</f>
        <v>185454</v>
      </c>
      <c r="H47" s="28">
        <f>181930.801708948*('2022 IR Data Book'!$A$5)</f>
        <v>181930.80170894801</v>
      </c>
      <c r="I47" s="28">
        <f>178491.574249645*('2022 IR Data Book'!$A$5)</f>
        <v>178491.574249645</v>
      </c>
      <c r="J47" s="28"/>
      <c r="K47" s="28"/>
      <c r="L47" s="28"/>
    </row>
    <row r="48" spans="2:12" x14ac:dyDescent="0.2">
      <c r="B48" s="20" t="s">
        <v>108</v>
      </c>
      <c r="C48" s="28">
        <f>145843*('2022 IR Data Book'!$A$5)</f>
        <v>145843</v>
      </c>
      <c r="D48" s="28">
        <f>155122*('2022 IR Data Book'!$A$5)</f>
        <v>155122</v>
      </c>
      <c r="E48" s="28">
        <f>170128*('2022 IR Data Book'!$A$5)</f>
        <v>170128</v>
      </c>
      <c r="F48" s="28">
        <f>153113*('2022 IR Data Book'!$A$5)</f>
        <v>153113</v>
      </c>
      <c r="G48" s="28">
        <f>156134*('2022 IR Data Book'!$A$5)</f>
        <v>156134</v>
      </c>
      <c r="H48" s="28">
        <f>136850.951749966*('2022 IR Data Book'!$A$5)</f>
        <v>136850.95174996601</v>
      </c>
      <c r="I48" s="28">
        <f>157196.561404239*('2022 IR Data Book'!$A$5)</f>
        <v>157196.56140423901</v>
      </c>
      <c r="L48" s="28"/>
    </row>
    <row r="49" spans="2:12" x14ac:dyDescent="0.2">
      <c r="B49" s="20" t="s">
        <v>109</v>
      </c>
      <c r="C49" s="28">
        <f>396594*('2022 IR Data Book'!$A$5)</f>
        <v>396594</v>
      </c>
      <c r="D49" s="28">
        <f>396651*('2022 IR Data Book'!$A$5)</f>
        <v>396651</v>
      </c>
      <c r="E49" s="28">
        <f>282409*('2022 IR Data Book'!$A$5)</f>
        <v>282409</v>
      </c>
      <c r="F49" s="28">
        <f>27424*('2022 IR Data Book'!$A$5)</f>
        <v>27424</v>
      </c>
      <c r="G49" s="28">
        <f>29645*('2022 IR Data Book'!$A$5)</f>
        <v>29645</v>
      </c>
      <c r="H49" s="28">
        <f>30527.0124957848*('2022 IR Data Book'!$A$5)</f>
        <v>30527.012495784798</v>
      </c>
      <c r="I49" s="28">
        <f>30784.9639042048*('2022 IR Data Book'!$A$5)</f>
        <v>30784.9639042048</v>
      </c>
      <c r="L49" s="28"/>
    </row>
    <row r="50" spans="2:12" x14ac:dyDescent="0.2">
      <c r="B50" s="20" t="s">
        <v>110</v>
      </c>
      <c r="C50" s="28">
        <f>80696*('2022 IR Data Book'!$A$5)</f>
        <v>80696</v>
      </c>
      <c r="D50" s="28">
        <f>85881*('2022 IR Data Book'!$A$5)</f>
        <v>85881</v>
      </c>
      <c r="E50" s="28">
        <f>94008*('2022 IR Data Book'!$A$5)</f>
        <v>94008</v>
      </c>
      <c r="F50" s="28">
        <f>62547*('2022 IR Data Book'!$A$5)</f>
        <v>62547</v>
      </c>
      <c r="G50" s="28">
        <f>63713*('2022 IR Data Book'!$A$5)</f>
        <v>63713</v>
      </c>
      <c r="H50" s="28">
        <f>61136.7566261348*('2022 IR Data Book'!$A$5)</f>
        <v>61136.756626134797</v>
      </c>
      <c r="I50" s="28">
        <f>52704.6012868802*('2022 IR Data Book'!$A$5)</f>
        <v>52704.601286880199</v>
      </c>
      <c r="L50" s="28"/>
    </row>
    <row r="51" spans="2:12" x14ac:dyDescent="0.2">
      <c r="B51" s="20" t="s">
        <v>111</v>
      </c>
      <c r="C51" s="28">
        <f>913390*('2022 IR Data Book'!$A$5)</f>
        <v>913390</v>
      </c>
      <c r="D51" s="28">
        <f>947539*('2022 IR Data Book'!$A$5)</f>
        <v>947539</v>
      </c>
      <c r="E51" s="28">
        <f>917790*('2022 IR Data Book'!$A$5)</f>
        <v>917790</v>
      </c>
      <c r="F51" s="28">
        <f>850431*('2022 IR Data Book'!$A$5)</f>
        <v>850431</v>
      </c>
      <c r="G51" s="28">
        <f>801300*('2022 IR Data Book'!$A$5)</f>
        <v>801300</v>
      </c>
      <c r="H51" s="28">
        <f>809013.043521554*('2022 IR Data Book'!$A$5)</f>
        <v>809013.04352155398</v>
      </c>
      <c r="I51" s="28">
        <f>732255.651046816*('2022 IR Data Book'!$A$5)</f>
        <v>732255.65104681603</v>
      </c>
      <c r="L51" s="28"/>
    </row>
    <row r="52" spans="2:12" ht="15.75" thickBot="1" x14ac:dyDescent="0.3">
      <c r="C52" s="43">
        <f t="shared" ref="C52:E52" si="7">SUM(C46:C51)</f>
        <v>2009831</v>
      </c>
      <c r="D52" s="43">
        <f t="shared" si="7"/>
        <v>2070979</v>
      </c>
      <c r="E52" s="43">
        <f t="shared" si="7"/>
        <v>1939940</v>
      </c>
      <c r="F52" s="43">
        <f>SUM(F46:F51)</f>
        <v>1618017</v>
      </c>
      <c r="G52" s="43">
        <f>SUM(G46:G51)</f>
        <v>1547494</v>
      </c>
      <c r="H52" s="43">
        <f>SUM(H46:H51)</f>
        <v>1489814.6321576405</v>
      </c>
      <c r="I52" s="43">
        <f>SUM(I46:I51)</f>
        <v>1401512.991258563</v>
      </c>
      <c r="L52" s="28"/>
    </row>
    <row r="53" spans="2:12" x14ac:dyDescent="0.2">
      <c r="B53" s="20" t="s">
        <v>112</v>
      </c>
      <c r="C53" s="28">
        <f>93522*('2022 IR Data Book'!$A$5)</f>
        <v>93522</v>
      </c>
      <c r="D53" s="28">
        <f>91542*('2022 IR Data Book'!$A$5)</f>
        <v>91542</v>
      </c>
      <c r="E53" s="28">
        <f>4859*('2022 IR Data Book'!$A$5)</f>
        <v>4859</v>
      </c>
      <c r="F53" s="28">
        <f>4505*('2022 IR Data Book'!$A$5)</f>
        <v>4505</v>
      </c>
      <c r="G53" s="28">
        <f>2099*('2022 IR Data Book'!$A$5)</f>
        <v>2099</v>
      </c>
      <c r="H53" s="28">
        <f>1760.28422364487*('2022 IR Data Book'!$A$5)</f>
        <v>1760.2842236448701</v>
      </c>
      <c r="I53" s="28">
        <f>5838.24756504022*('2022 IR Data Book'!$A$5)</f>
        <v>5838.2475650402203</v>
      </c>
      <c r="L53" s="28"/>
    </row>
    <row r="54" spans="2:12" ht="15" x14ac:dyDescent="0.25">
      <c r="B54" s="21" t="s">
        <v>113</v>
      </c>
      <c r="C54" s="45">
        <f t="shared" ref="C54:E54" si="8">C52+C53+C44</f>
        <v>3138493</v>
      </c>
      <c r="D54" s="45">
        <f t="shared" si="8"/>
        <v>3241539</v>
      </c>
      <c r="E54" s="45">
        <f t="shared" si="8"/>
        <v>3052585</v>
      </c>
      <c r="F54" s="45">
        <f>F52+F53+F44</f>
        <v>2723955</v>
      </c>
      <c r="G54" s="45">
        <f>G52+G53+G44</f>
        <v>2639446</v>
      </c>
      <c r="H54" s="45">
        <f>H52+H53+H44</f>
        <v>2614231.3495731023</v>
      </c>
      <c r="I54" s="45">
        <f>I52+I53+I44</f>
        <v>2491921.3296391601</v>
      </c>
      <c r="L54" s="28"/>
    </row>
    <row r="55" spans="2:12" ht="15.75" thickBot="1" x14ac:dyDescent="0.3">
      <c r="B55" s="21" t="s">
        <v>114</v>
      </c>
      <c r="C55" s="44">
        <f t="shared" ref="C55:E55" si="9">C54+C35</f>
        <v>5886560</v>
      </c>
      <c r="D55" s="44">
        <f t="shared" si="9"/>
        <v>5879671</v>
      </c>
      <c r="E55" s="44">
        <f t="shared" si="9"/>
        <v>5836030</v>
      </c>
      <c r="F55" s="44">
        <f>F54+F35</f>
        <v>5399948</v>
      </c>
      <c r="G55" s="44">
        <f>G54+G35</f>
        <v>5326995</v>
      </c>
      <c r="H55" s="44">
        <f>H54+H35</f>
        <v>5148438.0342477355</v>
      </c>
      <c r="I55" s="44">
        <f>I54+I35</f>
        <v>5047460.7936408697</v>
      </c>
      <c r="L55" s="28"/>
    </row>
    <row r="56" spans="2:12" ht="13.5" thickTop="1" x14ac:dyDescent="0.2">
      <c r="C56" s="28">
        <f t="shared" ref="C56:E56" si="10">C55-C23</f>
        <v>0</v>
      </c>
      <c r="D56" s="28">
        <f t="shared" si="10"/>
        <v>0</v>
      </c>
      <c r="E56" s="28">
        <f t="shared" si="10"/>
        <v>0</v>
      </c>
      <c r="F56" s="28">
        <f>F55-F23</f>
        <v>-0.27315961197018623</v>
      </c>
      <c r="G56" s="28">
        <f>G55-G23</f>
        <v>0</v>
      </c>
      <c r="H56" s="28">
        <f>H55-H23</f>
        <v>-0.37344400212168694</v>
      </c>
      <c r="I56" s="28">
        <f>I55-I23</f>
        <v>1.3136407360434532E-3</v>
      </c>
    </row>
    <row r="57" spans="2:12" x14ac:dyDescent="0.2">
      <c r="C57" s="28"/>
      <c r="D57" s="28"/>
      <c r="E57" s="28"/>
      <c r="F57" s="28"/>
      <c r="G57" s="28"/>
      <c r="H57" s="28"/>
      <c r="I57" s="28"/>
    </row>
    <row r="58" spans="2:12" x14ac:dyDescent="0.2">
      <c r="B58" s="20" t="s">
        <v>115</v>
      </c>
      <c r="C58" s="46">
        <v>1.6107560022649416</v>
      </c>
      <c r="D58" s="46">
        <v>1.7342174738067726</v>
      </c>
      <c r="E58" s="46">
        <v>2.0897051535855011</v>
      </c>
      <c r="F58" s="46">
        <v>1.8598371361685302</v>
      </c>
      <c r="G58" s="46">
        <v>1.4939415548169583</v>
      </c>
      <c r="H58" s="46">
        <v>1.6277306818344246</v>
      </c>
      <c r="I58" s="46">
        <f>'Key figures and ratios'!I20</f>
        <v>1.5044530933854867</v>
      </c>
    </row>
    <row r="59" spans="2:12" x14ac:dyDescent="0.2">
      <c r="B59" s="20" t="s">
        <v>116</v>
      </c>
      <c r="C59" s="46">
        <v>1.0215638399358693</v>
      </c>
      <c r="D59" s="46">
        <v>1.0846903851031628</v>
      </c>
      <c r="E59" s="46">
        <v>1.3293163334118974</v>
      </c>
      <c r="F59" s="46">
        <v>0.85157442462839417</v>
      </c>
      <c r="G59" s="46">
        <v>0.62980770352363846</v>
      </c>
      <c r="H59" s="46">
        <v>0.54097149022594071</v>
      </c>
      <c r="I59" s="46">
        <f>'Key figures and ratios'!I21</f>
        <v>0.78114996128377234</v>
      </c>
    </row>
    <row r="61" spans="2:12" x14ac:dyDescent="0.2">
      <c r="H61" s="227"/>
    </row>
    <row r="62" spans="2:12" x14ac:dyDescent="0.2">
      <c r="C62" s="28"/>
      <c r="H62" s="28"/>
    </row>
  </sheetData>
  <pageMargins left="0.7" right="0.7" top="0.75" bottom="0.75" header="0.3" footer="0.3"/>
  <pageSetup orientation="portrait" horizontalDpi="1200" verticalDpi="1200" r:id="rId1"/>
  <ignoredErrors>
    <ignoredError sqref="G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CDC0-9463-4CAE-9B07-BEAFA8E7E04A}">
  <dimension ref="A1:K74"/>
  <sheetViews>
    <sheetView showGridLines="0" workbookViewId="0">
      <selection activeCell="H77" sqref="H77"/>
    </sheetView>
  </sheetViews>
  <sheetFormatPr defaultRowHeight="12.75" x14ac:dyDescent="0.2"/>
  <cols>
    <col min="1" max="1" width="4.42578125" style="20" customWidth="1"/>
    <col min="2" max="2" width="73" style="20" bestFit="1" customWidth="1"/>
    <col min="3" max="3" width="10.42578125" style="20" bestFit="1" customWidth="1"/>
    <col min="4" max="5" width="9.28515625" style="20" bestFit="1" customWidth="1"/>
    <col min="6" max="6" width="12" style="20" customWidth="1"/>
    <col min="7" max="7" width="9.140625" style="20" customWidth="1"/>
    <col min="8" max="9" width="9.42578125" style="20" bestFit="1" customWidth="1"/>
    <col min="10" max="10" width="9.140625" style="20"/>
    <col min="11" max="11" width="9.42578125" style="20" bestFit="1" customWidth="1"/>
    <col min="12" max="12" width="36" style="20" customWidth="1"/>
    <col min="13" max="16384" width="9.140625" style="20"/>
  </cols>
  <sheetData>
    <row r="1" spans="1:9" x14ac:dyDescent="0.2">
      <c r="A1" s="180">
        <f>'2022 IR Data Book'!$A$5</f>
        <v>1</v>
      </c>
    </row>
    <row r="2" spans="1:9" x14ac:dyDescent="0.2">
      <c r="C2" s="137" t="s">
        <v>23</v>
      </c>
      <c r="D2" s="135" t="s">
        <v>24</v>
      </c>
      <c r="E2" s="137" t="s">
        <v>25</v>
      </c>
      <c r="F2" s="137" t="s">
        <v>26</v>
      </c>
      <c r="G2" s="137" t="s">
        <v>28</v>
      </c>
      <c r="H2" s="135" t="s">
        <v>29</v>
      </c>
      <c r="I2" s="135" t="s">
        <v>283</v>
      </c>
    </row>
    <row r="3" spans="1:9" x14ac:dyDescent="0.2">
      <c r="B3" s="47" t="s">
        <v>117</v>
      </c>
      <c r="C3" s="64">
        <f>69097*('2022 IR Data Book'!$A$5)</f>
        <v>69097</v>
      </c>
      <c r="D3" s="64">
        <f>159318*('2022 IR Data Book'!$A$5)</f>
        <v>159318</v>
      </c>
      <c r="E3" s="64">
        <f>215127*('2022 IR Data Book'!$A$5)</f>
        <v>215127</v>
      </c>
      <c r="F3" s="64">
        <f>262224*('2022 IR Data Book'!$A$5)</f>
        <v>262224</v>
      </c>
      <c r="G3" s="64">
        <f>66712.9745935493*('2022 IR Data Book'!$A$5)</f>
        <v>66712.974593549297</v>
      </c>
      <c r="H3" s="64">
        <f>120074*('2022 IR Data Book'!$A$5)</f>
        <v>120074</v>
      </c>
      <c r="I3" s="64">
        <f>156381.225085283*('2022 IR Data Book'!$A$5)</f>
        <v>156381.22508528299</v>
      </c>
    </row>
    <row r="4" spans="1:9" x14ac:dyDescent="0.2">
      <c r="B4" s="48" t="s">
        <v>118</v>
      </c>
      <c r="C4" s="64">
        <f>6880*('2022 IR Data Book'!$A$5)</f>
        <v>6880</v>
      </c>
      <c r="D4" s="64">
        <f>13094*('2022 IR Data Book'!$A$5)</f>
        <v>13094</v>
      </c>
      <c r="E4" s="64">
        <f>50222*('2022 IR Data Book'!$A$5)</f>
        <v>50222</v>
      </c>
      <c r="F4" s="64">
        <f>49544*('2022 IR Data Book'!$A$5)</f>
        <v>49544</v>
      </c>
      <c r="G4" s="64">
        <f>832*('2022 IR Data Book'!$A$5)</f>
        <v>832</v>
      </c>
      <c r="H4" s="64">
        <f>835*('2022 IR Data Book'!$A$5)</f>
        <v>835</v>
      </c>
      <c r="I4" s="64">
        <f>3625.53123332726*('2022 IR Data Book'!$A$5)</f>
        <v>3625.53123332726</v>
      </c>
    </row>
    <row r="5" spans="1:9" ht="15" x14ac:dyDescent="0.2">
      <c r="B5" s="49" t="s">
        <v>119</v>
      </c>
      <c r="C5" s="65">
        <f t="shared" ref="C5:H5" si="0">SUM(C3:C4)</f>
        <v>75977</v>
      </c>
      <c r="D5" s="65">
        <f t="shared" si="0"/>
        <v>172412</v>
      </c>
      <c r="E5" s="65">
        <f t="shared" si="0"/>
        <v>265349</v>
      </c>
      <c r="F5" s="65">
        <f t="shared" si="0"/>
        <v>311768</v>
      </c>
      <c r="G5" s="65">
        <f t="shared" si="0"/>
        <v>67544.974593549297</v>
      </c>
      <c r="H5" s="65">
        <f t="shared" si="0"/>
        <v>120909</v>
      </c>
      <c r="I5" s="65">
        <f t="shared" ref="I5" si="1">SUM(I3:I4)</f>
        <v>160006.75631861025</v>
      </c>
    </row>
    <row r="6" spans="1:9" x14ac:dyDescent="0.2">
      <c r="B6" s="50" t="s">
        <v>120</v>
      </c>
      <c r="C6" s="66"/>
      <c r="D6" s="66"/>
      <c r="E6" s="66"/>
      <c r="F6" s="66"/>
      <c r="G6" s="66"/>
      <c r="H6" s="66"/>
      <c r="I6" s="66"/>
    </row>
    <row r="7" spans="1:9" x14ac:dyDescent="0.2">
      <c r="C7" s="66"/>
      <c r="D7" s="66"/>
      <c r="E7" s="66"/>
      <c r="F7" s="66"/>
      <c r="G7" s="66"/>
      <c r="H7" s="66"/>
      <c r="I7" s="66"/>
    </row>
    <row r="8" spans="1:9" x14ac:dyDescent="0.2">
      <c r="B8" s="50" t="s">
        <v>121</v>
      </c>
      <c r="C8" s="64"/>
      <c r="D8" s="64"/>
      <c r="E8" s="64"/>
      <c r="F8" s="64"/>
      <c r="G8" s="64"/>
      <c r="H8" s="64"/>
      <c r="I8" s="64"/>
    </row>
    <row r="9" spans="1:9" x14ac:dyDescent="0.2">
      <c r="B9" s="51" t="s">
        <v>122</v>
      </c>
      <c r="C9" s="64">
        <f>30571*('2022 IR Data Book'!$A$5)</f>
        <v>30571</v>
      </c>
      <c r="D9" s="64">
        <f>61677*('2022 IR Data Book'!$A$5)</f>
        <v>61677</v>
      </c>
      <c r="E9" s="64">
        <f>85002*('2022 IR Data Book'!$A$5)</f>
        <v>85002</v>
      </c>
      <c r="F9" s="64">
        <f>111307*('2022 IR Data Book'!$A$5)</f>
        <v>111307</v>
      </c>
      <c r="G9" s="64">
        <f>27620*('2022 IR Data Book'!$A$5)</f>
        <v>27620</v>
      </c>
      <c r="H9" s="64">
        <f>55985*('2022 IR Data Book'!$A$5)</f>
        <v>55985</v>
      </c>
      <c r="I9" s="64">
        <f>84910.4747890224*('2022 IR Data Book'!$A$5)</f>
        <v>84910.474789022395</v>
      </c>
    </row>
    <row r="10" spans="1:9" x14ac:dyDescent="0.2">
      <c r="B10" s="51" t="s">
        <v>123</v>
      </c>
      <c r="C10" s="64">
        <f>64487*('2022 IR Data Book'!$A$5)</f>
        <v>64487</v>
      </c>
      <c r="D10" s="64">
        <f>131046*('2022 IR Data Book'!$A$5)</f>
        <v>131046</v>
      </c>
      <c r="E10" s="64">
        <f>191720*('2022 IR Data Book'!$A$5)</f>
        <v>191720</v>
      </c>
      <c r="F10" s="64">
        <f>254551*('2022 IR Data Book'!$A$5)</f>
        <v>254551</v>
      </c>
      <c r="G10" s="64">
        <f>66011*('2022 IR Data Book'!$A$5)</f>
        <v>66011</v>
      </c>
      <c r="H10" s="64">
        <f>129606*('2022 IR Data Book'!$A$5)</f>
        <v>129606</v>
      </c>
      <c r="I10" s="64">
        <f>190683.705115401*('2022 IR Data Book'!$A$5)</f>
        <v>190683.70511540101</v>
      </c>
    </row>
    <row r="11" spans="1:9" x14ac:dyDescent="0.2">
      <c r="B11" s="51" t="s">
        <v>124</v>
      </c>
      <c r="C11" s="64">
        <f>2222*('2022 IR Data Book'!$A$5)</f>
        <v>2222</v>
      </c>
      <c r="D11" s="64">
        <f>4442*('2022 IR Data Book'!$A$5)</f>
        <v>4442</v>
      </c>
      <c r="E11" s="64">
        <f>4371*('2022 IR Data Book'!$A$5)</f>
        <v>4371</v>
      </c>
      <c r="F11" s="64">
        <f>5064*('2022 IR Data Book'!$A$5)</f>
        <v>5064</v>
      </c>
      <c r="G11" s="64">
        <f>692*('2022 IR Data Book'!$A$5)</f>
        <v>692</v>
      </c>
      <c r="H11" s="64">
        <f>1383*('2022 IR Data Book'!$A$5)</f>
        <v>1383</v>
      </c>
      <c r="I11" s="64">
        <f>2071.70134298803*('2022 IR Data Book'!$A$5)</f>
        <v>2071.7013429880299</v>
      </c>
    </row>
    <row r="12" spans="1:9" x14ac:dyDescent="0.2">
      <c r="B12" s="51" t="s">
        <v>125</v>
      </c>
      <c r="C12" s="64">
        <f>8206*('2022 IR Data Book'!$A$5)</f>
        <v>8206</v>
      </c>
      <c r="D12" s="64">
        <f>22690*('2022 IR Data Book'!$A$5)</f>
        <v>22690</v>
      </c>
      <c r="E12" s="64">
        <f>26981*('2022 IR Data Book'!$A$5)</f>
        <v>26981</v>
      </c>
      <c r="F12" s="64">
        <f>33813*('2022 IR Data Book'!$A$5)</f>
        <v>33813</v>
      </c>
      <c r="G12" s="64">
        <f>6035*('2022 IR Data Book'!$A$5)</f>
        <v>6035</v>
      </c>
      <c r="H12" s="64">
        <f>17071*('2022 IR Data Book'!$A$5)</f>
        <v>17071</v>
      </c>
      <c r="I12" s="64">
        <f>25399.0220645702*('2022 IR Data Book'!$A$5)</f>
        <v>25399.022064570199</v>
      </c>
    </row>
    <row r="13" spans="1:9" x14ac:dyDescent="0.2">
      <c r="B13" s="51" t="s">
        <v>126</v>
      </c>
      <c r="C13" s="64">
        <f>3787*('2022 IR Data Book'!$A$5)</f>
        <v>3787</v>
      </c>
      <c r="D13" s="64">
        <f>13626*('2022 IR Data Book'!$A$5)</f>
        <v>13626</v>
      </c>
      <c r="E13" s="64">
        <f>17774*('2022 IR Data Book'!$A$5)</f>
        <v>17774</v>
      </c>
      <c r="F13" s="64">
        <f>15760*('2022 IR Data Book'!$A$5)</f>
        <v>15760</v>
      </c>
      <c r="G13" s="64">
        <f>4942*('2022 IR Data Book'!$A$5)</f>
        <v>4942</v>
      </c>
      <c r="H13" s="64">
        <f>9760*('2022 IR Data Book'!$A$5)</f>
        <v>9760</v>
      </c>
      <c r="I13" s="64">
        <f>13128.1258975919*('2022 IR Data Book'!$A$5)</f>
        <v>13128.125897591901</v>
      </c>
    </row>
    <row r="14" spans="1:9" x14ac:dyDescent="0.2">
      <c r="B14" s="51" t="s">
        <v>127</v>
      </c>
      <c r="C14" s="64">
        <f>1295*('2022 IR Data Book'!$A$5)</f>
        <v>1295</v>
      </c>
      <c r="D14" s="64">
        <f>3502*('2022 IR Data Book'!$A$5)</f>
        <v>3502</v>
      </c>
      <c r="E14" s="64">
        <f>(10624-5047)*('2022 IR Data Book'!$A$5)</f>
        <v>5577</v>
      </c>
      <c r="F14" s="64">
        <f>6906*('2022 IR Data Book'!$A$5)</f>
        <v>6906</v>
      </c>
      <c r="G14" s="64">
        <f>1523*('2022 IR Data Book'!$A$5)</f>
        <v>1523</v>
      </c>
      <c r="H14" s="64">
        <f>3532*('2022 IR Data Book'!$A$5)</f>
        <v>3532</v>
      </c>
      <c r="I14" s="64">
        <f>7151.95334604811*('2022 IR Data Book'!$A$5)</f>
        <v>7151.9533460481098</v>
      </c>
    </row>
    <row r="15" spans="1:9" x14ac:dyDescent="0.2">
      <c r="B15" s="51" t="s">
        <v>128</v>
      </c>
      <c r="C15" s="64">
        <f>12450*('2022 IR Data Book'!$A$5)</f>
        <v>12450</v>
      </c>
      <c r="D15" s="64">
        <f>24823*('2022 IR Data Book'!$A$5)</f>
        <v>24823</v>
      </c>
      <c r="E15" s="64">
        <f>35784*('2022 IR Data Book'!$A$5)</f>
        <v>35784</v>
      </c>
      <c r="F15" s="64">
        <f>47106*('2022 IR Data Book'!$A$5)</f>
        <v>47106</v>
      </c>
      <c r="G15" s="64">
        <f>10353*('2022 IR Data Book'!$A$5)</f>
        <v>10353</v>
      </c>
      <c r="H15" s="64">
        <f>22724*('2022 IR Data Book'!$A$5)</f>
        <v>22724</v>
      </c>
      <c r="I15" s="64">
        <f>34714.0856193912*('2022 IR Data Book'!$A$5)</f>
        <v>34714.085619391197</v>
      </c>
    </row>
    <row r="16" spans="1:9" x14ac:dyDescent="0.2">
      <c r="B16" s="51" t="s">
        <v>129</v>
      </c>
      <c r="C16" s="64">
        <f>-2685*('2022 IR Data Book'!$A$5)</f>
        <v>-2685</v>
      </c>
      <c r="D16" s="64">
        <f>-7293*('2022 IR Data Book'!$A$5)</f>
        <v>-7293</v>
      </c>
      <c r="E16" s="64">
        <f>-9205*('2022 IR Data Book'!$A$5)</f>
        <v>-9205</v>
      </c>
      <c r="F16" s="64">
        <f>-10232*('2022 IR Data Book'!$A$5)</f>
        <v>-10232</v>
      </c>
      <c r="G16" s="64">
        <f>-3556*('2022 IR Data Book'!$A$5)</f>
        <v>-3556</v>
      </c>
      <c r="H16" s="64">
        <f>-7720*('2022 IR Data Book'!$A$5)</f>
        <v>-7720</v>
      </c>
      <c r="I16" s="64">
        <f>-8664.694177561*('2022 IR Data Book'!$A$5)</f>
        <v>-8664.6941775609994</v>
      </c>
    </row>
    <row r="17" spans="2:9" x14ac:dyDescent="0.2">
      <c r="B17" s="51" t="s">
        <v>130</v>
      </c>
      <c r="C17" s="64">
        <f>0*('2022 IR Data Book'!$A$5)</f>
        <v>0</v>
      </c>
      <c r="D17" s="64">
        <f>0*('2022 IR Data Book'!$A$5)</f>
        <v>0</v>
      </c>
      <c r="E17" s="64">
        <f>0*('2022 IR Data Book'!$A$5)</f>
        <v>0</v>
      </c>
      <c r="F17" s="64">
        <f>2975*('2022 IR Data Book'!$A$5)</f>
        <v>2975</v>
      </c>
      <c r="G17" s="64">
        <f>0*('2022 IR Data Book'!$A$5)</f>
        <v>0</v>
      </c>
      <c r="H17" s="64">
        <f>0*('2022 IR Data Book'!$A$5)</f>
        <v>0</v>
      </c>
      <c r="I17" s="64">
        <f>0*('2022 IR Data Book'!$A$5)</f>
        <v>0</v>
      </c>
    </row>
    <row r="18" spans="2:9" x14ac:dyDescent="0.2">
      <c r="B18" s="51" t="s">
        <v>131</v>
      </c>
      <c r="C18" s="64">
        <f>-1616*('2022 IR Data Book'!$A$5)</f>
        <v>-1616</v>
      </c>
      <c r="D18" s="64">
        <f>-1824*('2022 IR Data Book'!$A$5)</f>
        <v>-1824</v>
      </c>
      <c r="E18" s="64">
        <f>-1618*('2022 IR Data Book'!$A$5)</f>
        <v>-1618</v>
      </c>
      <c r="F18" s="64">
        <f>-413*('2022 IR Data Book'!$A$5)</f>
        <v>-413</v>
      </c>
      <c r="G18" s="64">
        <f>4901*('2022 IR Data Book'!$A$5)</f>
        <v>4901</v>
      </c>
      <c r="H18" s="64">
        <f>10897*('2022 IR Data Book'!$A$5)</f>
        <v>10897</v>
      </c>
      <c r="I18" s="64">
        <f>10570.1545938648*('2022 IR Data Book'!$A$5)</f>
        <v>10570.1545938648</v>
      </c>
    </row>
    <row r="19" spans="2:9" x14ac:dyDescent="0.2">
      <c r="B19" s="51" t="s">
        <v>132</v>
      </c>
      <c r="C19" s="64">
        <f>0*('2022 IR Data Book'!$A$5)</f>
        <v>0</v>
      </c>
      <c r="D19" s="64">
        <f>0*('2022 IR Data Book'!$A$5)</f>
        <v>0</v>
      </c>
      <c r="E19" s="64">
        <f>-31608*('2022 IR Data Book'!$A$5)</f>
        <v>-31608</v>
      </c>
      <c r="F19" s="64">
        <f>-31608*('2022 IR Data Book'!$A$5)</f>
        <v>-31608</v>
      </c>
      <c r="G19" s="64">
        <f>-800*('2022 IR Data Book'!$A$5)</f>
        <v>-800</v>
      </c>
      <c r="H19" s="64">
        <f>-800*('2022 IR Data Book'!$A$5)</f>
        <v>-800</v>
      </c>
      <c r="I19" s="64">
        <f>-2320.954659*('2022 IR Data Book'!$A$5)</f>
        <v>-2320.954659</v>
      </c>
    </row>
    <row r="20" spans="2:9" x14ac:dyDescent="0.2">
      <c r="B20" s="51" t="s">
        <v>133</v>
      </c>
      <c r="C20" s="222">
        <f>0*('2022 IR Data Book'!$A$5)</f>
        <v>0</v>
      </c>
      <c r="D20" s="222">
        <f>0*('2022 IR Data Book'!$A$5)</f>
        <v>0</v>
      </c>
      <c r="E20" s="222">
        <f>-1486*('2022 IR Data Book'!$A$5)</f>
        <v>-1486</v>
      </c>
      <c r="F20" s="222">
        <f>-20812*('2022 IR Data Book'!$A$5)</f>
        <v>-20812</v>
      </c>
      <c r="G20" s="222">
        <f>0*('2022 IR Data Book'!$A$5)</f>
        <v>0</v>
      </c>
      <c r="H20" s="222">
        <f>0*('2022 IR Data Book'!$A$5)</f>
        <v>0</v>
      </c>
      <c r="I20" s="222">
        <f>-648*('2022 IR Data Book'!$A$5)</f>
        <v>-648</v>
      </c>
    </row>
    <row r="21" spans="2:9" ht="15" x14ac:dyDescent="0.2">
      <c r="B21" s="51"/>
      <c r="C21" s="65">
        <f t="shared" ref="C21:H21" si="2">SUM(C5:C20)</f>
        <v>194694</v>
      </c>
      <c r="D21" s="65">
        <f t="shared" si="2"/>
        <v>425101</v>
      </c>
      <c r="E21" s="65">
        <f t="shared" si="2"/>
        <v>588641</v>
      </c>
      <c r="F21" s="65">
        <f t="shared" si="2"/>
        <v>726185</v>
      </c>
      <c r="G21" s="65">
        <f t="shared" si="2"/>
        <v>185265.9745935493</v>
      </c>
      <c r="H21" s="65">
        <f t="shared" si="2"/>
        <v>363347</v>
      </c>
      <c r="I21" s="65">
        <f t="shared" ref="I21" si="3">SUM(I5:I20)</f>
        <v>517002.3302509269</v>
      </c>
    </row>
    <row r="22" spans="2:9" x14ac:dyDescent="0.2">
      <c r="C22" s="66"/>
      <c r="D22" s="66"/>
      <c r="E22" s="66"/>
      <c r="F22" s="66"/>
      <c r="G22" s="66"/>
      <c r="H22" s="66"/>
      <c r="I22" s="66"/>
    </row>
    <row r="23" spans="2:9" x14ac:dyDescent="0.2">
      <c r="B23" s="50" t="s">
        <v>134</v>
      </c>
      <c r="C23" s="64"/>
      <c r="D23" s="64"/>
      <c r="E23" s="64"/>
      <c r="F23" s="64"/>
      <c r="G23" s="64"/>
      <c r="H23" s="64"/>
      <c r="I23" s="64"/>
    </row>
    <row r="24" spans="2:9" x14ac:dyDescent="0.2">
      <c r="B24" s="51" t="s">
        <v>135</v>
      </c>
      <c r="C24" s="64">
        <f>16527*('2022 IR Data Book'!$A$5)</f>
        <v>16527</v>
      </c>
      <c r="D24" s="64">
        <f>-60869*('2022 IR Data Book'!$A$5)</f>
        <v>-60869</v>
      </c>
      <c r="E24" s="64">
        <f>-31519*('2022 IR Data Book'!$A$5)</f>
        <v>-31519</v>
      </c>
      <c r="F24" s="64">
        <f>-174292*('2022 IR Data Book'!$A$5)</f>
        <v>-174292</v>
      </c>
      <c r="G24" s="64">
        <f>50503*('2022 IR Data Book'!$A$5)</f>
        <v>50503</v>
      </c>
      <c r="H24" s="64">
        <f>65762*('2022 IR Data Book'!$A$5)</f>
        <v>65762</v>
      </c>
      <c r="I24" s="64">
        <f>111542.267356377*('2022 IR Data Book'!$A$5)</f>
        <v>111542.26735637699</v>
      </c>
    </row>
    <row r="25" spans="2:9" x14ac:dyDescent="0.2">
      <c r="B25" s="51" t="s">
        <v>136</v>
      </c>
      <c r="C25" s="64">
        <f>-24343*('2022 IR Data Book'!$A$5)</f>
        <v>-24343</v>
      </c>
      <c r="D25" s="64">
        <f>-5662*('2022 IR Data Book'!$A$5)</f>
        <v>-5662</v>
      </c>
      <c r="E25" s="64">
        <f>-31622*('2022 IR Data Book'!$A$5)</f>
        <v>-31622</v>
      </c>
      <c r="F25" s="64">
        <f>16676*('2022 IR Data Book'!$A$5)</f>
        <v>16676</v>
      </c>
      <c r="G25" s="64">
        <f>-32385.840330583*('2022 IR Data Book'!$A$5)</f>
        <v>-32385.840330583</v>
      </c>
      <c r="H25" s="64">
        <f>-76633*('2022 IR Data Book'!$A$5)</f>
        <v>-76633</v>
      </c>
      <c r="I25" s="64">
        <f>-98661.5622864977*('2022 IR Data Book'!$A$5)</f>
        <v>-98661.562286497705</v>
      </c>
    </row>
    <row r="26" spans="2:9" x14ac:dyDescent="0.2">
      <c r="B26" s="51" t="s">
        <v>137</v>
      </c>
      <c r="C26" s="64">
        <f>-26200*('2022 IR Data Book'!$A$5)</f>
        <v>-26200</v>
      </c>
      <c r="D26" s="64">
        <f>-40096*('2022 IR Data Book'!$A$5)</f>
        <v>-40096</v>
      </c>
      <c r="E26" s="64">
        <f>-34567*('2022 IR Data Book'!$A$5)</f>
        <v>-34567</v>
      </c>
      <c r="F26" s="64">
        <f>25240*('2022 IR Data Book'!$A$5)</f>
        <v>25240</v>
      </c>
      <c r="G26" s="64">
        <f>-16854*('2022 IR Data Book'!$A$5)</f>
        <v>-16854</v>
      </c>
      <c r="H26" s="64">
        <f>-18635*('2022 IR Data Book'!$A$5)</f>
        <v>-18635</v>
      </c>
      <c r="I26" s="64">
        <f>12662.3772294495*('2022 IR Data Book'!$A$5)</f>
        <v>12662.377229449499</v>
      </c>
    </row>
    <row r="27" spans="2:9" x14ac:dyDescent="0.2">
      <c r="B27" s="51" t="s">
        <v>138</v>
      </c>
      <c r="C27" s="64">
        <f>-121872*('2022 IR Data Book'!$A$5)</f>
        <v>-121872</v>
      </c>
      <c r="D27" s="64">
        <f>-88003*('2022 IR Data Book'!$A$5)</f>
        <v>-88003</v>
      </c>
      <c r="E27" s="64">
        <f>-120889*('2022 IR Data Book'!$A$5)</f>
        <v>-120889</v>
      </c>
      <c r="F27" s="64">
        <f>-166484*('2022 IR Data Book'!$A$5)</f>
        <v>-166484</v>
      </c>
      <c r="G27" s="64">
        <f>-49724*('2022 IR Data Book'!$A$5)</f>
        <v>-49724</v>
      </c>
      <c r="H27" s="64">
        <f>-41966*('2022 IR Data Book'!$A$5)</f>
        <v>-41966</v>
      </c>
      <c r="I27" s="64">
        <f>-119567.233277775*('2022 IR Data Book'!$A$5)</f>
        <v>-119567.233277775</v>
      </c>
    </row>
    <row r="28" spans="2:9" x14ac:dyDescent="0.2">
      <c r="B28" s="51" t="s">
        <v>139</v>
      </c>
      <c r="C28" s="67">
        <f>0*('2022 IR Data Book'!$A$5)</f>
        <v>0</v>
      </c>
      <c r="D28" s="67">
        <f>0*('2022 IR Data Book'!$A$5)</f>
        <v>0</v>
      </c>
      <c r="E28" s="67">
        <f>18964*('2022 IR Data Book'!$A$5)</f>
        <v>18964</v>
      </c>
      <c r="F28" s="67">
        <f>18305*('2022 IR Data Book'!$A$5)</f>
        <v>18305</v>
      </c>
      <c r="G28" s="67">
        <f>0*('2022 IR Data Book'!$A$5)</f>
        <v>0</v>
      </c>
      <c r="H28" s="67">
        <f>0*('2022 IR Data Book'!$A$5)</f>
        <v>0</v>
      </c>
      <c r="I28" s="67">
        <f>-4434.73416298412*('2022 IR Data Book'!$A$5)</f>
        <v>-4434.7341629841203</v>
      </c>
    </row>
    <row r="29" spans="2:9" x14ac:dyDescent="0.2">
      <c r="C29" s="68"/>
      <c r="D29" s="68"/>
      <c r="E29" s="68"/>
      <c r="F29" s="68"/>
      <c r="G29" s="68"/>
      <c r="H29" s="68"/>
      <c r="I29" s="68"/>
    </row>
    <row r="30" spans="2:9" ht="25.5" x14ac:dyDescent="0.2">
      <c r="B30" s="52" t="s">
        <v>140</v>
      </c>
      <c r="C30" s="69">
        <f t="shared" ref="C30:H30" si="4">C21+SUM(C24:C28)</f>
        <v>38806</v>
      </c>
      <c r="D30" s="69">
        <f t="shared" si="4"/>
        <v>230471</v>
      </c>
      <c r="E30" s="69">
        <f t="shared" si="4"/>
        <v>389008</v>
      </c>
      <c r="F30" s="69">
        <f t="shared" si="4"/>
        <v>445630</v>
      </c>
      <c r="G30" s="69">
        <f t="shared" si="4"/>
        <v>136805.13426296628</v>
      </c>
      <c r="H30" s="69">
        <f t="shared" si="4"/>
        <v>291875</v>
      </c>
      <c r="I30" s="69">
        <f t="shared" ref="I30" si="5">I21+SUM(I24:I28)</f>
        <v>418543.44510949659</v>
      </c>
    </row>
    <row r="31" spans="2:9" x14ac:dyDescent="0.2">
      <c r="C31" s="64"/>
      <c r="D31" s="64"/>
      <c r="E31" s="64"/>
      <c r="F31" s="64"/>
      <c r="G31" s="64"/>
      <c r="H31" s="64"/>
      <c r="I31" s="64"/>
    </row>
    <row r="32" spans="2:9" x14ac:dyDescent="0.2">
      <c r="B32" s="51" t="s">
        <v>141</v>
      </c>
      <c r="C32" s="66">
        <f>-4565*('2022 IR Data Book'!$A$5)</f>
        <v>-4565</v>
      </c>
      <c r="D32" s="66">
        <f>-19262*('2022 IR Data Book'!$A$5)</f>
        <v>-19262</v>
      </c>
      <c r="E32" s="66">
        <f>-24728*('2022 IR Data Book'!$A$5)</f>
        <v>-24728</v>
      </c>
      <c r="F32" s="66">
        <f>-31732*('2022 IR Data Book'!$A$5)</f>
        <v>-31732</v>
      </c>
      <c r="G32" s="66">
        <f>-6375*('2022 IR Data Book'!$A$5)</f>
        <v>-6375</v>
      </c>
      <c r="H32" s="66">
        <f>-12681*('2022 IR Data Book'!$A$5)</f>
        <v>-12681</v>
      </c>
      <c r="I32" s="66">
        <f>-18048.7065671711*('2022 IR Data Book'!$A$5)</f>
        <v>-18048.706567171099</v>
      </c>
    </row>
    <row r="33" spans="2:9" x14ac:dyDescent="0.2">
      <c r="B33" s="51" t="s">
        <v>142</v>
      </c>
      <c r="C33" s="66">
        <f>-23078*('2022 IR Data Book'!$A$5)</f>
        <v>-23078</v>
      </c>
      <c r="D33" s="66">
        <f>-49099*('2022 IR Data Book'!$A$5)</f>
        <v>-49099</v>
      </c>
      <c r="E33" s="66">
        <f>-61465*('2022 IR Data Book'!$A$5)</f>
        <v>-61465</v>
      </c>
      <c r="F33" s="66">
        <f>-96549*('2022 IR Data Book'!$A$5)</f>
        <v>-96549</v>
      </c>
      <c r="G33" s="66">
        <f>-15971*('2022 IR Data Book'!$A$5)</f>
        <v>-15971</v>
      </c>
      <c r="H33" s="66">
        <f>-36928*('2022 IR Data Book'!$A$5)</f>
        <v>-36928</v>
      </c>
      <c r="I33" s="66">
        <f>-45334.603918391*('2022 IR Data Book'!$A$5)</f>
        <v>-45334.603918391003</v>
      </c>
    </row>
    <row r="34" spans="2:9" ht="15" x14ac:dyDescent="0.2">
      <c r="B34" s="50" t="s">
        <v>143</v>
      </c>
      <c r="C34" s="56">
        <f t="shared" ref="C34:H34" si="6">SUM(C30:C33)</f>
        <v>11163</v>
      </c>
      <c r="D34" s="56">
        <f t="shared" si="6"/>
        <v>162110</v>
      </c>
      <c r="E34" s="56">
        <f t="shared" si="6"/>
        <v>302815</v>
      </c>
      <c r="F34" s="56">
        <f t="shared" si="6"/>
        <v>317349</v>
      </c>
      <c r="G34" s="56">
        <f t="shared" si="6"/>
        <v>114459.13426296628</v>
      </c>
      <c r="H34" s="56">
        <f t="shared" si="6"/>
        <v>242266</v>
      </c>
      <c r="I34" s="56">
        <f t="shared" ref="I34" si="7">SUM(I30:I33)</f>
        <v>355160.13462393451</v>
      </c>
    </row>
    <row r="35" spans="2:9" x14ac:dyDescent="0.2">
      <c r="C35" s="66"/>
      <c r="D35" s="66"/>
      <c r="E35" s="66"/>
      <c r="F35" s="66"/>
      <c r="G35" s="66"/>
      <c r="H35" s="66"/>
      <c r="I35" s="66"/>
    </row>
    <row r="36" spans="2:9" x14ac:dyDescent="0.2">
      <c r="B36" s="47" t="s">
        <v>144</v>
      </c>
      <c r="C36" s="66"/>
      <c r="D36" s="66"/>
      <c r="E36" s="66"/>
      <c r="F36" s="66"/>
      <c r="G36" s="66"/>
      <c r="H36" s="66"/>
      <c r="I36" s="66"/>
    </row>
    <row r="37" spans="2:9" x14ac:dyDescent="0.2">
      <c r="B37" s="51" t="s">
        <v>145</v>
      </c>
      <c r="C37" s="66">
        <f>-34074*('2022 IR Data Book'!$A$5)</f>
        <v>-34074</v>
      </c>
      <c r="D37" s="66">
        <f>-63319*('2022 IR Data Book'!$A$5)</f>
        <v>-63319</v>
      </c>
      <c r="E37" s="66">
        <f>-99376*('2022 IR Data Book'!$A$5)</f>
        <v>-99376</v>
      </c>
      <c r="F37" s="66">
        <f>-128597*('2022 IR Data Book'!$A$5)</f>
        <v>-128597</v>
      </c>
      <c r="G37" s="66">
        <f>-15766*('2022 IR Data Book'!$A$5)</f>
        <v>-15766</v>
      </c>
      <c r="H37" s="66">
        <f>-39025*('2022 IR Data Book'!$A$5)</f>
        <v>-39025</v>
      </c>
      <c r="I37" s="66">
        <f>-52609.4286512622*('2022 IR Data Book'!$A$5)</f>
        <v>-52609.428651262198</v>
      </c>
    </row>
    <row r="38" spans="2:9" x14ac:dyDescent="0.2">
      <c r="B38" s="51" t="s">
        <v>146</v>
      </c>
      <c r="C38" s="66">
        <f>2634*('2022 IR Data Book'!$A$5)</f>
        <v>2634</v>
      </c>
      <c r="D38" s="66">
        <f>2908*('2022 IR Data Book'!$A$5)</f>
        <v>2908</v>
      </c>
      <c r="E38" s="66">
        <f>5654*('2022 IR Data Book'!$A$5)</f>
        <v>5654</v>
      </c>
      <c r="F38" s="66">
        <f>6277*('2022 IR Data Book'!$A$5)</f>
        <v>6277</v>
      </c>
      <c r="G38" s="66">
        <f>708*('2022 IR Data Book'!$A$5)</f>
        <v>708</v>
      </c>
      <c r="H38" s="66">
        <f>1376*('2022 IR Data Book'!$A$5)</f>
        <v>1376</v>
      </c>
      <c r="I38" s="66">
        <f>2138.54676555677*('2022 IR Data Book'!$A$5)</f>
        <v>2138.54676555677</v>
      </c>
    </row>
    <row r="39" spans="2:9" x14ac:dyDescent="0.2">
      <c r="B39" s="51" t="s">
        <v>147</v>
      </c>
      <c r="C39" s="66">
        <f>0*('2022 IR Data Book'!$A$5)</f>
        <v>0</v>
      </c>
      <c r="D39" s="66">
        <f>0*('2022 IR Data Book'!$A$5)</f>
        <v>0</v>
      </c>
      <c r="E39" s="66">
        <f>0*('2022 IR Data Book'!$A$5)</f>
        <v>0</v>
      </c>
      <c r="F39" s="66">
        <f>0*('2022 IR Data Book'!$A$5)</f>
        <v>0</v>
      </c>
      <c r="G39" s="66">
        <f>0*('2022 IR Data Book'!$A$5)</f>
        <v>0</v>
      </c>
      <c r="H39" s="66">
        <f>0*('2022 IR Data Book'!$A$5)</f>
        <v>0</v>
      </c>
      <c r="I39" s="66">
        <f>0*('2022 IR Data Book'!$A$5)</f>
        <v>0</v>
      </c>
    </row>
    <row r="40" spans="2:9" x14ac:dyDescent="0.2">
      <c r="B40" s="51" t="s">
        <v>148</v>
      </c>
      <c r="C40" s="66">
        <f>2332*('2022 IR Data Book'!$A$5)</f>
        <v>2332</v>
      </c>
      <c r="D40" s="66">
        <f>3855*('2022 IR Data Book'!$A$5)</f>
        <v>3855</v>
      </c>
      <c r="E40" s="66">
        <f>5047*('2022 IR Data Book'!$A$5)</f>
        <v>5047</v>
      </c>
      <c r="F40" s="66">
        <f>6406*('2022 IR Data Book'!$A$5)</f>
        <v>6406</v>
      </c>
      <c r="G40" s="66">
        <f>991*('2022 IR Data Book'!$A$5)</f>
        <v>991</v>
      </c>
      <c r="H40" s="66">
        <f>1996*('2022 IR Data Book'!$A$5)</f>
        <v>1996</v>
      </c>
      <c r="I40" s="66">
        <f>2759.31684564848*(('2022 IR Data Book'!$A$5))</f>
        <v>2759.31684564848</v>
      </c>
    </row>
    <row r="41" spans="2:9" x14ac:dyDescent="0.2">
      <c r="B41" s="51" t="s">
        <v>149</v>
      </c>
      <c r="C41" s="66">
        <f>-1535*('2022 IR Data Book'!$A$5)</f>
        <v>-1535</v>
      </c>
      <c r="D41" s="66">
        <f>662*('2022 IR Data Book'!$A$5)</f>
        <v>662</v>
      </c>
      <c r="E41" s="66">
        <f>250*('2022 IR Data Book'!$A$5)</f>
        <v>250</v>
      </c>
      <c r="F41" s="66">
        <f>-421*('2022 IR Data Book'!$A$5)</f>
        <v>-421</v>
      </c>
      <c r="G41" s="66">
        <f>165*('2022 IR Data Book'!$A$5)</f>
        <v>165</v>
      </c>
      <c r="H41" s="66">
        <f>360*('2022 IR Data Book'!$A$5)</f>
        <v>360</v>
      </c>
      <c r="I41" s="66">
        <f>1621.30920095115*(('2022 IR Data Book'!$A$5))</f>
        <v>1621.3092009511499</v>
      </c>
    </row>
    <row r="42" spans="2:9" x14ac:dyDescent="0.2">
      <c r="B42" s="51" t="s">
        <v>150</v>
      </c>
      <c r="C42" s="66">
        <f>0*('2022 IR Data Book'!$A$5)</f>
        <v>0</v>
      </c>
      <c r="D42" s="66">
        <f>0*('2022 IR Data Book'!$A$5)</f>
        <v>0</v>
      </c>
      <c r="E42" s="66">
        <f>289566*('2022 IR Data Book'!$A$5)</f>
        <v>289566</v>
      </c>
      <c r="F42" s="66">
        <f>289566*('2022 IR Data Book'!$A$5)</f>
        <v>289566</v>
      </c>
      <c r="G42" s="66">
        <f>2545*('2022 IR Data Book'!$A$5)</f>
        <v>2545</v>
      </c>
      <c r="H42" s="66">
        <f>2545*('2022 IR Data Book'!$A$5)</f>
        <v>2545</v>
      </c>
      <c r="I42" s="66">
        <f>15255.943674*(('2022 IR Data Book'!$A$5))</f>
        <v>15255.943674</v>
      </c>
    </row>
    <row r="43" spans="2:9" x14ac:dyDescent="0.2">
      <c r="B43" s="51" t="s">
        <v>151</v>
      </c>
      <c r="C43" s="66">
        <f>0*('2022 IR Data Book'!$A$5)</f>
        <v>0</v>
      </c>
      <c r="D43" s="66">
        <f>-4659*('2022 IR Data Book'!$A$5)</f>
        <v>-4659</v>
      </c>
      <c r="E43" s="66">
        <f>-5142*('2022 IR Data Book'!$A$5)</f>
        <v>-5142</v>
      </c>
      <c r="F43" s="66">
        <f>0*('2022 IR Data Book'!$A$5)</f>
        <v>0</v>
      </c>
      <c r="G43" s="66">
        <f>0*('2022 IR Data Book'!$A$5)</f>
        <v>0</v>
      </c>
      <c r="H43" s="66">
        <f>0*('2022 IR Data Book'!$A$5)</f>
        <v>0</v>
      </c>
      <c r="I43" s="66">
        <f>0*(('2022 IR Data Book'!$A$5))</f>
        <v>0</v>
      </c>
    </row>
    <row r="44" spans="2:9" x14ac:dyDescent="0.2">
      <c r="B44" s="51" t="s">
        <v>152</v>
      </c>
      <c r="C44" s="66">
        <f>4557*('2022 IR Data Book'!$A$5)</f>
        <v>4557</v>
      </c>
      <c r="D44" s="66">
        <f>4557*('2022 IR Data Book'!$A$5)</f>
        <v>4557</v>
      </c>
      <c r="E44" s="66">
        <f>13209*('2022 IR Data Book'!$A$5)</f>
        <v>13209</v>
      </c>
      <c r="F44" s="66">
        <f>13209*('2022 IR Data Book'!$A$5)</f>
        <v>13209</v>
      </c>
      <c r="G44" s="66">
        <f>0*('2022 IR Data Book'!$A$5)</f>
        <v>0</v>
      </c>
      <c r="H44" s="66">
        <f>8728*('2022 IR Data Book'!$A$5)</f>
        <v>8728</v>
      </c>
      <c r="I44" s="66">
        <f>(8729.19643474623*(('2022 IR Data Book'!$A$5)))</f>
        <v>8729.1964347462308</v>
      </c>
    </row>
    <row r="45" spans="2:9" x14ac:dyDescent="0.2">
      <c r="B45" s="51" t="s">
        <v>153</v>
      </c>
      <c r="C45" s="66">
        <f>0*('2022 IR Data Book'!$A$5)</f>
        <v>0</v>
      </c>
      <c r="D45" s="66">
        <f>0*('2022 IR Data Book'!$A$5)</f>
        <v>0</v>
      </c>
      <c r="E45" s="66">
        <f>0*('2022 IR Data Book'!$A$5)</f>
        <v>0</v>
      </c>
      <c r="F45" s="66">
        <f>-4895*('2022 IR Data Book'!$A$5)</f>
        <v>-4895</v>
      </c>
      <c r="G45" s="66">
        <f>0*('2022 IR Data Book'!$A$5)</f>
        <v>0</v>
      </c>
      <c r="H45" s="66">
        <f>0*('2022 IR Data Book'!$A$5)</f>
        <v>0</v>
      </c>
      <c r="I45" s="66">
        <f>(0*(('2022 IR Data Book'!$A$5)))</f>
        <v>0</v>
      </c>
    </row>
    <row r="46" spans="2:9" x14ac:dyDescent="0.2">
      <c r="B46" s="51" t="s">
        <v>154</v>
      </c>
      <c r="C46" s="66">
        <f>218*('2022 IR Data Book'!$A$5)</f>
        <v>218</v>
      </c>
      <c r="D46" s="66">
        <f>964*('2022 IR Data Book'!$A$5)</f>
        <v>964</v>
      </c>
      <c r="E46" s="66">
        <f>1099*('2022 IR Data Book'!$A$5)</f>
        <v>1099</v>
      </c>
      <c r="F46" s="66">
        <f>117*('2022 IR Data Book'!$A$5)</f>
        <v>117</v>
      </c>
      <c r="G46" s="66">
        <f>16*('2022 IR Data Book'!$A$5)</f>
        <v>16</v>
      </c>
      <c r="H46" s="66">
        <f>196*('2022 IR Data Book'!$A$5)</f>
        <v>196</v>
      </c>
      <c r="I46" s="66">
        <f>(332.485447093773*(('2022 IR Data Book'!$A$5)))</f>
        <v>332.48544709377302</v>
      </c>
    </row>
    <row r="47" spans="2:9" x14ac:dyDescent="0.2">
      <c r="B47" s="51" t="s">
        <v>155</v>
      </c>
      <c r="C47" s="66">
        <f>-2777*('2022 IR Data Book'!$A$5)</f>
        <v>-2777</v>
      </c>
      <c r="D47" s="66">
        <f>-7758*('2022 IR Data Book'!$A$5)</f>
        <v>-7758</v>
      </c>
      <c r="E47" s="66">
        <f>-5302*('2022 IR Data Book'!$A$5)</f>
        <v>-5302</v>
      </c>
      <c r="F47" s="66">
        <f>-12132*('2022 IR Data Book'!$A$5)</f>
        <v>-12132</v>
      </c>
      <c r="G47" s="66">
        <f>-815*('2022 IR Data Book'!$A$5)</f>
        <v>-815</v>
      </c>
      <c r="H47" s="66">
        <f>2743*('2022 IR Data Book'!$A$5)</f>
        <v>2743</v>
      </c>
      <c r="I47" s="66">
        <f>2753.51740387131*(('2022 IR Data Book'!$A$5))</f>
        <v>2753.5174038713099</v>
      </c>
    </row>
    <row r="48" spans="2:9" x14ac:dyDescent="0.2">
      <c r="B48" s="51" t="s">
        <v>156</v>
      </c>
      <c r="C48" s="66">
        <f>410*('2022 IR Data Book'!$A$5)</f>
        <v>410</v>
      </c>
      <c r="D48" s="66">
        <f>190505*('2022 IR Data Book'!$A$5)</f>
        <v>190505</v>
      </c>
      <c r="E48" s="66">
        <f>-120174*('2022 IR Data Book'!$A$5)</f>
        <v>-120174</v>
      </c>
      <c r="F48" s="66">
        <f>(1901+195040)*('2022 IR Data Book'!$A$5)</f>
        <v>196941</v>
      </c>
      <c r="G48" s="66">
        <f>128*('2022 IR Data Book'!$A$5)</f>
        <v>128</v>
      </c>
      <c r="H48" s="66">
        <f>45155*('2022 IR Data Book'!$A$5)</f>
        <v>45155</v>
      </c>
      <c r="I48" s="66">
        <f>45142.2209088347*(('2022 IR Data Book'!$A$5))</f>
        <v>45142.220908834701</v>
      </c>
    </row>
    <row r="49" spans="2:9" x14ac:dyDescent="0.2">
      <c r="B49" s="51" t="s">
        <v>157</v>
      </c>
      <c r="C49" s="66">
        <f>0*('2022 IR Data Book'!$A$5)</f>
        <v>0</v>
      </c>
      <c r="D49" s="66">
        <f>0*('2022 IR Data Book'!$A$5)</f>
        <v>0</v>
      </c>
      <c r="E49" s="66">
        <f>0*('2022 IR Data Book'!$A$5)</f>
        <v>0</v>
      </c>
      <c r="F49" s="66">
        <f>567*('2022 IR Data Book'!$A$5)</f>
        <v>567</v>
      </c>
      <c r="G49" s="66">
        <f>0*('2022 IR Data Book'!$A$5)</f>
        <v>0</v>
      </c>
      <c r="H49" s="66">
        <f>0*('2022 IR Data Book'!$A$5)</f>
        <v>0</v>
      </c>
      <c r="I49" s="66">
        <f>(0*('2022 IR Data Book'!$A$5))*(('2022 IR Data Book'!$A$5))</f>
        <v>0</v>
      </c>
    </row>
    <row r="50" spans="2:9" ht="15" x14ac:dyDescent="0.2">
      <c r="B50" s="50" t="s">
        <v>158</v>
      </c>
      <c r="C50" s="56">
        <f t="shared" ref="C50:H50" si="8">SUM(C37:C49)</f>
        <v>-28235</v>
      </c>
      <c r="D50" s="56">
        <f t="shared" si="8"/>
        <v>127715</v>
      </c>
      <c r="E50" s="56">
        <f t="shared" si="8"/>
        <v>84831</v>
      </c>
      <c r="F50" s="56">
        <f t="shared" si="8"/>
        <v>367038</v>
      </c>
      <c r="G50" s="56">
        <f t="shared" si="8"/>
        <v>-12028</v>
      </c>
      <c r="H50" s="56">
        <f t="shared" si="8"/>
        <v>24074</v>
      </c>
      <c r="I50" s="56">
        <f t="shared" ref="I50" si="9">SUM(I37:I49)</f>
        <v>26123.108029440216</v>
      </c>
    </row>
    <row r="51" spans="2:9" x14ac:dyDescent="0.2">
      <c r="C51" s="66"/>
      <c r="D51" s="66"/>
      <c r="E51" s="66"/>
      <c r="F51" s="66"/>
      <c r="G51" s="66"/>
      <c r="H51" s="66"/>
      <c r="I51" s="66"/>
    </row>
    <row r="52" spans="2:9" x14ac:dyDescent="0.2">
      <c r="B52" s="53"/>
      <c r="C52" s="58"/>
      <c r="D52" s="58"/>
      <c r="E52" s="58"/>
      <c r="F52" s="58"/>
      <c r="G52" s="58"/>
      <c r="H52" s="58"/>
      <c r="I52" s="58"/>
    </row>
    <row r="53" spans="2:9" x14ac:dyDescent="0.2">
      <c r="B53" s="47" t="s">
        <v>159</v>
      </c>
      <c r="C53" s="58"/>
      <c r="D53" s="58"/>
      <c r="E53" s="58"/>
      <c r="F53" s="58"/>
      <c r="G53" s="58"/>
      <c r="H53" s="58"/>
      <c r="I53" s="58"/>
    </row>
    <row r="54" spans="2:9" x14ac:dyDescent="0.2">
      <c r="B54" s="53" t="s">
        <v>160</v>
      </c>
      <c r="C54" s="58">
        <f>-17726*('2022 IR Data Book'!$A$5)</f>
        <v>-17726</v>
      </c>
      <c r="D54" s="58">
        <f>-32563*('2022 IR Data Book'!$A$5)</f>
        <v>-32563</v>
      </c>
      <c r="E54" s="58">
        <f>-46408*('2022 IR Data Book'!$A$5)</f>
        <v>-46408</v>
      </c>
      <c r="F54" s="58">
        <f>-60218*('2022 IR Data Book'!$A$5)</f>
        <v>-60218</v>
      </c>
      <c r="G54" s="58">
        <f>-12262*('2022 IR Data Book'!$A$5)</f>
        <v>-12262</v>
      </c>
      <c r="H54" s="58">
        <f>-27657*('2022 IR Data Book'!$A$5)</f>
        <v>-27657</v>
      </c>
      <c r="I54" s="58">
        <f>-44033.9826625978*(('2022 IR Data Book'!$A$5))</f>
        <v>-44033.982662597802</v>
      </c>
    </row>
    <row r="55" spans="2:9" x14ac:dyDescent="0.2">
      <c r="B55" s="53" t="s">
        <v>161</v>
      </c>
      <c r="C55" s="58">
        <f>2166*('2022 IR Data Book'!$A$5)</f>
        <v>2166</v>
      </c>
      <c r="D55" s="58">
        <f>2137*('2022 IR Data Book'!$A$5)</f>
        <v>2137</v>
      </c>
      <c r="E55" s="58">
        <f>3043*('2022 IR Data Book'!$A$5)</f>
        <v>3043</v>
      </c>
      <c r="F55" s="58">
        <f>4044*('2022 IR Data Book'!$A$5)</f>
        <v>4044</v>
      </c>
      <c r="G55" s="58">
        <f>1601*('2022 IR Data Book'!$A$5)</f>
        <v>1601</v>
      </c>
      <c r="H55" s="58">
        <f>6110*('2022 IR Data Book'!$A$5)</f>
        <v>6110</v>
      </c>
      <c r="I55" s="58">
        <f>15464.6045364219*(('2022 IR Data Book'!$A$5))</f>
        <v>15464.604536421901</v>
      </c>
    </row>
    <row r="56" spans="2:9" x14ac:dyDescent="0.2">
      <c r="B56" s="53" t="s">
        <v>162</v>
      </c>
      <c r="C56" s="58">
        <f>-160225*('2022 IR Data Book'!$A$5)</f>
        <v>-160225</v>
      </c>
      <c r="D56" s="58">
        <f>-169019*('2022 IR Data Book'!$A$5)</f>
        <v>-169019</v>
      </c>
      <c r="E56" s="58">
        <f>-286405*('2022 IR Data Book'!$A$5)</f>
        <v>-286405</v>
      </c>
      <c r="F56" s="58">
        <f>-544203*('2022 IR Data Book'!$A$5)</f>
        <v>-544203</v>
      </c>
      <c r="G56" s="58">
        <f>-2804*('2022 IR Data Book'!$A$5)</f>
        <v>-2804</v>
      </c>
      <c r="H56" s="58">
        <f>-6930*('2022 IR Data Book'!$A$5)</f>
        <v>-6930</v>
      </c>
      <c r="I56" s="58">
        <f>-16648.3220056357*(('2022 IR Data Book'!$A$5))</f>
        <v>-16648.322005635699</v>
      </c>
    </row>
    <row r="57" spans="2:9" x14ac:dyDescent="0.2">
      <c r="B57" s="54" t="s">
        <v>163</v>
      </c>
      <c r="C57" s="58">
        <f>-80409*('2022 IR Data Book'!$A$5)</f>
        <v>-80409</v>
      </c>
      <c r="D57" s="58">
        <f>-137113*('2022 IR Data Book'!$A$5)</f>
        <v>-137113</v>
      </c>
      <c r="E57" s="58">
        <f>-186889*('2022 IR Data Book'!$A$5)</f>
        <v>-186889</v>
      </c>
      <c r="F57" s="58">
        <f>-267254*('2022 IR Data Book'!$A$5)</f>
        <v>-267254</v>
      </c>
      <c r="G57" s="58">
        <f>-82244*('2022 IR Data Book'!$A$5)</f>
        <v>-82244</v>
      </c>
      <c r="H57" s="58">
        <f>-146413*('2022 IR Data Book'!$A$5)</f>
        <v>-146413</v>
      </c>
      <c r="I57" s="58">
        <f>-217221.814012158*(('2022 IR Data Book'!$A$5))</f>
        <v>-217221.81401215799</v>
      </c>
    </row>
    <row r="58" spans="2:9" x14ac:dyDescent="0.2">
      <c r="B58" s="53" t="s">
        <v>164</v>
      </c>
      <c r="C58" s="58">
        <f>-1202*('2022 IR Data Book'!$A$5)</f>
        <v>-1202</v>
      </c>
      <c r="D58" s="58">
        <f>-2395*('2022 IR Data Book'!$A$5)</f>
        <v>-2395</v>
      </c>
      <c r="E58" s="58">
        <f>-2389*('2022 IR Data Book'!$A$5)</f>
        <v>-2389</v>
      </c>
      <c r="F58" s="58">
        <f>-2654*('2022 IR Data Book'!$A$5)</f>
        <v>-2654</v>
      </c>
      <c r="G58" s="58">
        <f>-449*('2022 IR Data Book'!$A$5)</f>
        <v>-449</v>
      </c>
      <c r="H58" s="58">
        <f>-740*('2022 IR Data Book'!$A$5)</f>
        <v>-740</v>
      </c>
      <c r="I58" s="58">
        <f>-227.886074387136*(('2022 IR Data Book'!$A$5))</f>
        <v>-227.88607438713601</v>
      </c>
    </row>
    <row r="59" spans="2:9" x14ac:dyDescent="0.2">
      <c r="B59" s="55" t="s">
        <v>165</v>
      </c>
      <c r="C59" s="58">
        <f>0*('2022 IR Data Book'!$A$5)</f>
        <v>0</v>
      </c>
      <c r="D59" s="58">
        <f>0*('2022 IR Data Book'!$A$5)</f>
        <v>0</v>
      </c>
      <c r="E59" s="58">
        <f>0*('2022 IR Data Book'!$A$5)</f>
        <v>0</v>
      </c>
      <c r="F59" s="58">
        <f>0*('2022 IR Data Book'!$A$5)</f>
        <v>0</v>
      </c>
      <c r="G59" s="58">
        <f>0*('2022 IR Data Book'!$A$5)</f>
        <v>0</v>
      </c>
      <c r="H59" s="58">
        <f>0*('2022 IR Data Book'!$A$5)</f>
        <v>0</v>
      </c>
      <c r="I59" s="58">
        <f>0*(('2022 IR Data Book'!$A$5))</f>
        <v>0</v>
      </c>
    </row>
    <row r="60" spans="2:9" x14ac:dyDescent="0.2">
      <c r="B60" s="55" t="s">
        <v>166</v>
      </c>
      <c r="C60" s="58">
        <f>0*('2022 IR Data Book'!$A$5)</f>
        <v>0</v>
      </c>
      <c r="D60" s="58">
        <f>-190333*('2022 IR Data Book'!$A$5)</f>
        <v>-190333</v>
      </c>
      <c r="E60" s="58">
        <f>-190333*('2022 IR Data Book'!$A$5)</f>
        <v>-190333</v>
      </c>
      <c r="F60" s="58">
        <f>(E60)*('2022 IR Data Book'!$A$5)</f>
        <v>-190333</v>
      </c>
      <c r="G60" s="58">
        <f>0*('2022 IR Data Book'!$A$5)</f>
        <v>0</v>
      </c>
      <c r="H60" s="58">
        <f>-190333*('2022 IR Data Book'!$A$5)</f>
        <v>-190333</v>
      </c>
      <c r="I60" s="58">
        <f>-190333*(('2022 IR Data Book'!$A$5))</f>
        <v>-190333</v>
      </c>
    </row>
    <row r="61" spans="2:9" ht="15" x14ac:dyDescent="0.25">
      <c r="B61" s="50" t="s">
        <v>167</v>
      </c>
      <c r="C61" s="57">
        <f t="shared" ref="C61:H61" si="10">SUM(C54:C60)</f>
        <v>-257396</v>
      </c>
      <c r="D61" s="57">
        <f t="shared" si="10"/>
        <v>-529286</v>
      </c>
      <c r="E61" s="57">
        <f t="shared" si="10"/>
        <v>-709381</v>
      </c>
      <c r="F61" s="57">
        <f t="shared" si="10"/>
        <v>-1060618</v>
      </c>
      <c r="G61" s="57">
        <f t="shared" si="10"/>
        <v>-96158</v>
      </c>
      <c r="H61" s="57">
        <f t="shared" si="10"/>
        <v>-365963</v>
      </c>
      <c r="I61" s="57">
        <f t="shared" ref="I61" si="11">SUM(I54:I60)</f>
        <v>-453000.40021835669</v>
      </c>
    </row>
    <row r="62" spans="2:9" x14ac:dyDescent="0.2">
      <c r="C62" s="28"/>
      <c r="D62" s="28"/>
      <c r="E62" s="28"/>
      <c r="F62" s="28"/>
      <c r="G62" s="28"/>
      <c r="H62" s="28"/>
      <c r="I62" s="28"/>
    </row>
    <row r="63" spans="2:9" ht="15" x14ac:dyDescent="0.2">
      <c r="B63" s="50" t="s">
        <v>168</v>
      </c>
      <c r="C63" s="69">
        <f t="shared" ref="C63:I63" si="12">C34+C50+C61</f>
        <v>-274468</v>
      </c>
      <c r="D63" s="69">
        <f t="shared" si="12"/>
        <v>-239461</v>
      </c>
      <c r="E63" s="69">
        <f t="shared" si="12"/>
        <v>-321735</v>
      </c>
      <c r="F63" s="69">
        <f t="shared" si="12"/>
        <v>-376231</v>
      </c>
      <c r="G63" s="69">
        <f t="shared" si="12"/>
        <v>6273.1342629662831</v>
      </c>
      <c r="H63" s="69">
        <f t="shared" si="12"/>
        <v>-99623</v>
      </c>
      <c r="I63" s="69">
        <f t="shared" si="12"/>
        <v>-71717.157564981957</v>
      </c>
    </row>
    <row r="64" spans="2:9" x14ac:dyDescent="0.2">
      <c r="C64" s="63"/>
      <c r="D64" s="63"/>
      <c r="E64" s="63"/>
      <c r="F64" s="63"/>
      <c r="G64" s="63"/>
      <c r="H64" s="63"/>
      <c r="I64" s="63"/>
    </row>
    <row r="65" spans="2:11" x14ac:dyDescent="0.2">
      <c r="B65" s="53" t="s">
        <v>169</v>
      </c>
      <c r="C65" s="66">
        <f>-8408*('2022 IR Data Book'!$A$5)</f>
        <v>-8408</v>
      </c>
      <c r="D65" s="66">
        <f>-10649*('2022 IR Data Book'!$A$5)</f>
        <v>-10649</v>
      </c>
      <c r="E65" s="66">
        <f>-7038*('2022 IR Data Book'!$A$5)</f>
        <v>-7038</v>
      </c>
      <c r="F65" s="66">
        <f>27490*('2022 IR Data Book'!$A$5)</f>
        <v>27490</v>
      </c>
      <c r="G65" s="66">
        <f>-16761*('2022 IR Data Book'!$A$5)</f>
        <v>-16761</v>
      </c>
      <c r="H65" s="66">
        <f>-14043*('2022 IR Data Book'!$A$5)</f>
        <v>-14043</v>
      </c>
      <c r="I65" s="66">
        <f>-19654.6841143637*(('2022 IR Data Book'!$A$5))</f>
        <v>-19654.684114363699</v>
      </c>
    </row>
    <row r="66" spans="2:11" x14ac:dyDescent="0.2">
      <c r="B66" s="53" t="s">
        <v>170</v>
      </c>
      <c r="C66" s="67">
        <f>907428*('2022 IR Data Book'!$A$5)</f>
        <v>907428</v>
      </c>
      <c r="D66" s="67">
        <f>907428*('2022 IR Data Book'!$A$5)</f>
        <v>907428</v>
      </c>
      <c r="E66" s="67">
        <f>907428.624750678*('2022 IR Data Book'!$A$5)</f>
        <v>907428.62475067796</v>
      </c>
      <c r="F66" s="67">
        <f>907428*('2022 IR Data Book'!$A$5)</f>
        <v>907428</v>
      </c>
      <c r="G66" s="67">
        <f>558687*('2022 IR Data Book'!$A$5)</f>
        <v>558687</v>
      </c>
      <c r="H66" s="67">
        <f>558687*('2022 IR Data Book'!$A$5)</f>
        <v>558687</v>
      </c>
      <c r="I66" s="67">
        <f>558686.612170299*(('2022 IR Data Book'!$A$5))</f>
        <v>558686.61217029905</v>
      </c>
    </row>
    <row r="67" spans="2:11" ht="15" x14ac:dyDescent="0.2">
      <c r="B67" s="50" t="s">
        <v>171</v>
      </c>
      <c r="C67" s="56">
        <f t="shared" ref="C67:H67" si="13">C63+C65+C66</f>
        <v>624552</v>
      </c>
      <c r="D67" s="56">
        <f t="shared" si="13"/>
        <v>657318</v>
      </c>
      <c r="E67" s="56">
        <f t="shared" si="13"/>
        <v>578655.62475067796</v>
      </c>
      <c r="F67" s="56">
        <f t="shared" si="13"/>
        <v>558687</v>
      </c>
      <c r="G67" s="56">
        <f t="shared" si="13"/>
        <v>548199.13426296622</v>
      </c>
      <c r="H67" s="56">
        <f t="shared" si="13"/>
        <v>445021</v>
      </c>
      <c r="I67" s="56">
        <f t="shared" ref="I67" si="14">I63+I65+I66</f>
        <v>467314.77049095341</v>
      </c>
    </row>
    <row r="68" spans="2:11" x14ac:dyDescent="0.2">
      <c r="C68" s="70"/>
      <c r="D68" s="70"/>
      <c r="E68" s="70"/>
      <c r="F68" s="70"/>
      <c r="G68" s="70"/>
      <c r="H68" s="64"/>
      <c r="I68" s="64"/>
    </row>
    <row r="69" spans="2:11" x14ac:dyDescent="0.2">
      <c r="C69" s="70"/>
      <c r="D69" s="70"/>
      <c r="E69" s="70"/>
      <c r="F69" s="70"/>
      <c r="G69" s="70"/>
      <c r="H69" s="64"/>
      <c r="I69" s="64"/>
    </row>
    <row r="70" spans="2:11" x14ac:dyDescent="0.2">
      <c r="C70" s="137" t="s">
        <v>172</v>
      </c>
      <c r="D70" s="135" t="s">
        <v>173</v>
      </c>
      <c r="E70" s="137" t="s">
        <v>174</v>
      </c>
      <c r="F70" s="137" t="s">
        <v>175</v>
      </c>
      <c r="G70" s="137" t="s">
        <v>176</v>
      </c>
      <c r="H70" s="135" t="s">
        <v>177</v>
      </c>
      <c r="I70" s="135" t="s">
        <v>286</v>
      </c>
    </row>
    <row r="71" spans="2:11" x14ac:dyDescent="0.2">
      <c r="B71" s="72" t="s">
        <v>178</v>
      </c>
      <c r="C71" s="225">
        <f>'Group Profit &amp; Loss Stm'!C8</f>
        <v>1424933</v>
      </c>
      <c r="D71" s="225">
        <f>'Group Profit &amp; Loss Stm'!D8+'Group Profit &amp; Loss Stm'!C8</f>
        <v>2995856</v>
      </c>
      <c r="E71" s="225">
        <f>'Group Profit &amp; Loss Stm'!E8+'Group Profit &amp; Loss Stm'!D8+'Group Profit &amp; Loss Stm'!C8+1</f>
        <v>4457261</v>
      </c>
      <c r="F71" s="225">
        <f>'Group Profit &amp; Loss Stm'!G8</f>
        <v>6068805</v>
      </c>
      <c r="G71" s="225">
        <f>'Group Profit &amp; Loss Stm'!H8</f>
        <v>1448931.8290969201</v>
      </c>
      <c r="H71" s="225">
        <f>'Group Profit &amp; Loss Stm'!I8+'Group Profit &amp; Loss Stm'!H8</f>
        <v>2965520.5801713904</v>
      </c>
      <c r="I71" s="225">
        <f>'Group Profit &amp; Loss Stm'!I8+'Group Profit &amp; Loss Stm'!H8+'Group Profit &amp; Loss Stm'!J8</f>
        <v>4391771.0264622206</v>
      </c>
      <c r="J71" s="227"/>
      <c r="K71" s="28"/>
    </row>
    <row r="72" spans="2:11" x14ac:dyDescent="0.2">
      <c r="B72" s="72" t="s">
        <v>179</v>
      </c>
      <c r="C72" s="223">
        <f t="shared" ref="C72:H72" si="15">-C37</f>
        <v>34074</v>
      </c>
      <c r="D72" s="223">
        <f t="shared" si="15"/>
        <v>63319</v>
      </c>
      <c r="E72" s="223">
        <f t="shared" si="15"/>
        <v>99376</v>
      </c>
      <c r="F72" s="223">
        <f t="shared" si="15"/>
        <v>128597</v>
      </c>
      <c r="G72" s="223">
        <f t="shared" si="15"/>
        <v>15766</v>
      </c>
      <c r="H72" s="223">
        <f t="shared" si="15"/>
        <v>39025</v>
      </c>
      <c r="I72" s="223">
        <f t="shared" ref="I72" si="16">-I37</f>
        <v>52609.428651262198</v>
      </c>
      <c r="K72" s="229"/>
    </row>
    <row r="73" spans="2:11" x14ac:dyDescent="0.2">
      <c r="B73" s="72" t="s">
        <v>180</v>
      </c>
      <c r="C73" s="224">
        <f t="shared" ref="C73:H73" si="17">C72/C71</f>
        <v>2.3912703263942937E-2</v>
      </c>
      <c r="D73" s="224">
        <f t="shared" si="17"/>
        <v>2.1135528543427987E-2</v>
      </c>
      <c r="E73" s="224">
        <f t="shared" si="17"/>
        <v>2.2295306467357421E-2</v>
      </c>
      <c r="F73" s="224">
        <f t="shared" si="17"/>
        <v>2.1189838856249296E-2</v>
      </c>
      <c r="G73" s="224">
        <f t="shared" si="17"/>
        <v>1.088111923790543E-2</v>
      </c>
      <c r="H73" s="224">
        <f t="shared" si="17"/>
        <v>1.3159578207258495E-2</v>
      </c>
      <c r="I73" s="224">
        <f t="shared" ref="I73" si="18">I72/I71</f>
        <v>1.1979091882128833E-2</v>
      </c>
    </row>
    <row r="74" spans="2:11" x14ac:dyDescent="0.2">
      <c r="B74" s="72"/>
    </row>
  </sheetData>
  <pageMargins left="0.7" right="0.7" top="0.75" bottom="0.75" header="0.3" footer="0.3"/>
  <pageSetup orientation="portrait" horizontalDpi="1200" verticalDpi="1200" r:id="rId1"/>
  <ignoredErrors>
    <ignoredError sqref="C45:H45 C17:F19 F49 C48:F48 C47:D47 C46:F46 C44:H44 C20:D20 F20 F4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6DD68-F16B-44D9-A77F-AE595237758B}">
  <dimension ref="B1:I21"/>
  <sheetViews>
    <sheetView showGridLines="0" workbookViewId="0">
      <selection activeCell="L29" sqref="L29"/>
    </sheetView>
  </sheetViews>
  <sheetFormatPr defaultRowHeight="12.75" x14ac:dyDescent="0.2"/>
  <cols>
    <col min="1" max="1" width="9.140625" style="20"/>
    <col min="2" max="2" width="32" style="20" bestFit="1" customWidth="1"/>
    <col min="3" max="3" width="11.140625" style="20" customWidth="1"/>
    <col min="4" max="4" width="12.5703125" style="20" customWidth="1"/>
    <col min="5" max="5" width="12" style="20" customWidth="1"/>
    <col min="6" max="6" width="10.42578125" style="20" customWidth="1"/>
    <col min="7" max="7" width="11.42578125" style="20" customWidth="1"/>
    <col min="8" max="8" width="11.140625" style="20" customWidth="1"/>
    <col min="9" max="9" width="11" style="20" bestFit="1" customWidth="1"/>
    <col min="10" max="16384" width="9.140625" style="20"/>
  </cols>
  <sheetData>
    <row r="1" spans="2:9" x14ac:dyDescent="0.2">
      <c r="B1" s="232" t="s">
        <v>322</v>
      </c>
      <c r="C1" s="232"/>
      <c r="D1" s="232"/>
      <c r="E1" s="232"/>
      <c r="F1" s="232"/>
      <c r="G1" s="232"/>
      <c r="H1" s="232"/>
      <c r="I1" s="232"/>
    </row>
    <row r="3" spans="2:9" x14ac:dyDescent="0.2">
      <c r="B3" s="232" t="s">
        <v>294</v>
      </c>
      <c r="C3" s="232" t="s">
        <v>67</v>
      </c>
      <c r="D3" s="232" t="s">
        <v>68</v>
      </c>
      <c r="E3" s="232" t="s">
        <v>69</v>
      </c>
      <c r="F3" s="232" t="s">
        <v>70</v>
      </c>
      <c r="G3" s="232" t="s">
        <v>71</v>
      </c>
      <c r="H3" s="232" t="s">
        <v>72</v>
      </c>
      <c r="I3" s="232" t="s">
        <v>285</v>
      </c>
    </row>
    <row r="4" spans="2:9" x14ac:dyDescent="0.2">
      <c r="B4" s="20" t="s">
        <v>295</v>
      </c>
      <c r="C4" s="233">
        <f>'Group Profit &amp; Loss Stm'!C10/'Group Profit &amp; Loss Stm'!$C$8</f>
        <v>0.25169393929398787</v>
      </c>
      <c r="D4" s="233">
        <f>'Group Profit &amp; Loss Stm'!D10/'Group Profit &amp; Loss Stm'!$D$8</f>
        <v>0.24741187187405111</v>
      </c>
      <c r="E4" s="233">
        <f>'Group Profit &amp; Loss Stm'!E10/'Group Profit &amp; Loss Stm'!$E$8</f>
        <v>0.24365610057177892</v>
      </c>
      <c r="F4" s="233">
        <f>'Group Profit &amp; Loss Stm'!F10/'Group Profit &amp; Loss Stm'!$F$8</f>
        <v>0.20320561945214063</v>
      </c>
      <c r="G4" s="233">
        <f>'Group Profit &amp; Loss Stm'!H10/'Group Profit &amp; Loss Stm'!$H$8</f>
        <v>0.23748544556615789</v>
      </c>
      <c r="H4" s="233">
        <f>'Group Profit &amp; Loss Stm'!I10/'Group Profit &amp; Loss Stm'!$I$8</f>
        <v>0.2496542186752698</v>
      </c>
      <c r="I4" s="233">
        <f>'Group Profit &amp; Loss Stm'!J10/'Group Profit &amp; Loss Stm'!$J$8</f>
        <v>0.22494442913815535</v>
      </c>
    </row>
    <row r="5" spans="2:9" x14ac:dyDescent="0.2">
      <c r="B5" s="20" t="s">
        <v>296</v>
      </c>
      <c r="C5" s="233">
        <f>'Group Profit &amp; Loss Stm'!C16/'Group Profit &amp; Loss Stm'!$C$8</f>
        <v>5.5760516459370371E-2</v>
      </c>
      <c r="D5" s="233">
        <f>'Group Profit &amp; Loss Stm'!D16/'Group Profit &amp; Loss Stm'!$D$8</f>
        <v>6.337166111897273E-2</v>
      </c>
      <c r="E5" s="233">
        <f>'Group Profit &amp; Loss Stm'!E16/'Group Profit &amp; Loss Stm'!$E$8</f>
        <v>4.6542913526991851E-2</v>
      </c>
      <c r="F5" s="233">
        <f>'Group Profit &amp; Loss Stm'!F16/'Group Profit &amp; Loss Stm'!$F$8</f>
        <v>3.639302656767264E-2</v>
      </c>
      <c r="G5" s="233">
        <f>'Group Profit &amp; Loss Stm'!H16/'Group Profit &amp; Loss Stm'!$H$8</f>
        <v>5.1766680577612939E-2</v>
      </c>
      <c r="H5" s="233">
        <f>'Group Profit &amp; Loss Stm'!I16/'Group Profit &amp; Loss Stm'!$I$8</f>
        <v>4.1915201644511735E-2</v>
      </c>
      <c r="I5" s="233">
        <f>'Group Profit &amp; Loss Stm'!J16/'Group Profit &amp; Loss Stm'!$J$8</f>
        <v>3.5693055943467569E-2</v>
      </c>
    </row>
    <row r="6" spans="2:9" x14ac:dyDescent="0.2">
      <c r="B6" s="20" t="s">
        <v>188</v>
      </c>
      <c r="C6" s="233">
        <v>0.1191944670761533</v>
      </c>
      <c r="D6" s="233">
        <v>0.12267394038048969</v>
      </c>
      <c r="E6" s="233">
        <v>0.11162854256833539</v>
      </c>
      <c r="F6" s="233">
        <v>9.2863373116938347E-2</v>
      </c>
      <c r="G6" s="233">
        <v>0.11728283799012065</v>
      </c>
      <c r="H6" s="233">
        <v>0.10255493410220939</v>
      </c>
      <c r="I6" s="233">
        <v>9.9110944862207243E-2</v>
      </c>
    </row>
    <row r="7" spans="2:9" x14ac:dyDescent="0.2">
      <c r="B7" s="20" t="s">
        <v>297</v>
      </c>
      <c r="C7" s="233">
        <f>'Group Profit &amp; Loss Stm'!C34/'Group Profit &amp; Loss Stm'!$C$8</f>
        <v>3.2291342821030883E-2</v>
      </c>
      <c r="D7" s="233">
        <f>'Group Profit &amp; Loss Stm'!D34/'Group Profit &amp; Loss Stm'!$D$8</f>
        <v>4.1673589348427645E-2</v>
      </c>
      <c r="E7" s="233">
        <f>'Group Profit &amp; Loss Stm'!E34/'Group Profit &amp; Loss Stm'!$E$8</f>
        <v>4.6404006010658243E-2</v>
      </c>
      <c r="F7" s="233">
        <f>'Group Profit &amp; Loss Stm'!F34/'Group Profit &amp; Loss Stm'!$F$8</f>
        <v>2.8697306001383767E-2</v>
      </c>
      <c r="G7" s="233">
        <f>'Group Profit &amp; Loss Stm'!H34/'Group Profit &amp; Loss Stm'!$H$8</f>
        <v>3.2646323570520483E-2</v>
      </c>
      <c r="H7" s="233">
        <f>'Group Profit &amp; Loss Stm'!I34/'Group Profit &amp; Loss Stm'!$I$8</f>
        <v>2.9387293737611776E-2</v>
      </c>
      <c r="I7" s="233">
        <f>'Group Profit &amp; Loss Stm'!J34/'Group Profit &amp; Loss Stm'!$J$8</f>
        <v>2.7795580377731208E-2</v>
      </c>
    </row>
    <row r="8" spans="2:9" x14ac:dyDescent="0.2">
      <c r="B8" s="20" t="s">
        <v>300</v>
      </c>
      <c r="C8" s="31">
        <f>'Group Profit &amp; Loss Stm'!C41</f>
        <v>2.7768595041322314E-2</v>
      </c>
      <c r="D8" s="31">
        <f>'Group Profit &amp; Loss Stm'!D41</f>
        <v>4.1266989959702204E-2</v>
      </c>
      <c r="E8" s="31">
        <f>'Group Profit &amp; Loss Stm'!E41</f>
        <v>2.1412471825694966E-2</v>
      </c>
      <c r="F8" s="31">
        <f>'Group Profit &amp; Loss Stm'!F41</f>
        <v>3.2012840652960867E-2</v>
      </c>
      <c r="G8" s="31">
        <f>'Group Profit &amp; Loss Stm'!H41</f>
        <v>3.1756155923969603E-2</v>
      </c>
      <c r="H8" s="31">
        <f>'Group Profit &amp; Loss Stm'!I41</f>
        <v>3.0457235940857662E-2</v>
      </c>
      <c r="I8" s="31">
        <f>'Group Profit &amp; Loss Stm'!J41</f>
        <v>2.5224520448297455E-2</v>
      </c>
    </row>
    <row r="11" spans="2:9" x14ac:dyDescent="0.2">
      <c r="B11" s="195" t="s">
        <v>61</v>
      </c>
      <c r="C11" s="196">
        <v>2017</v>
      </c>
      <c r="D11" s="196">
        <v>2018</v>
      </c>
      <c r="E11" s="196">
        <v>2019</v>
      </c>
      <c r="F11" s="196">
        <v>2020</v>
      </c>
      <c r="G11" s="196">
        <v>2021</v>
      </c>
    </row>
    <row r="12" spans="2:9" x14ac:dyDescent="0.2">
      <c r="B12" s="72" t="s">
        <v>62</v>
      </c>
      <c r="C12" s="2">
        <v>0.16299979509596338</v>
      </c>
      <c r="D12" s="2">
        <v>0.16500034150672768</v>
      </c>
      <c r="E12" s="2">
        <v>0.16500000000885801</v>
      </c>
      <c r="F12" s="2">
        <f>'Group Profit &amp; Loss Stm'!F47</f>
        <v>0.13000000000697903</v>
      </c>
      <c r="G12" s="2">
        <f>'Group Profit &amp; Loss Stm'!G47</f>
        <v>0.13</v>
      </c>
    </row>
    <row r="13" spans="2:9" x14ac:dyDescent="0.2">
      <c r="B13" s="72" t="s">
        <v>63</v>
      </c>
      <c r="C13" s="2">
        <v>0.54811333971828136</v>
      </c>
      <c r="D13" s="2">
        <v>0.49037725699554435</v>
      </c>
      <c r="E13" s="2">
        <v>0.48567852837348008</v>
      </c>
      <c r="F13" s="2">
        <f>'Group Profit &amp; Loss Stm'!F48</f>
        <v>0.71378800837877832</v>
      </c>
      <c r="G13" s="2">
        <f>'Group Profit &amp; Loss Stm'!G48</f>
        <v>0.84389534501584196</v>
      </c>
    </row>
    <row r="14" spans="2:9" x14ac:dyDescent="0.2">
      <c r="B14" s="23" t="s">
        <v>64</v>
      </c>
      <c r="C14" s="221">
        <v>0.16299999999999998</v>
      </c>
      <c r="D14" s="221">
        <v>0.16500000000000001</v>
      </c>
      <c r="E14" s="221">
        <v>0.16500000000000001</v>
      </c>
      <c r="F14" s="221">
        <f>'Group Profit &amp; Loss Stm'!F49</f>
        <v>0.13</v>
      </c>
      <c r="G14" s="221">
        <f>'Group Profit &amp; Loss Stm'!G49</f>
        <v>0.13</v>
      </c>
    </row>
    <row r="17" spans="2:9" x14ac:dyDescent="0.2">
      <c r="B17" s="232" t="s">
        <v>294</v>
      </c>
      <c r="C17" s="232" t="s">
        <v>308</v>
      </c>
      <c r="D17" s="232" t="s">
        <v>173</v>
      </c>
      <c r="E17" s="232" t="s">
        <v>174</v>
      </c>
      <c r="F17" s="232" t="s">
        <v>305</v>
      </c>
      <c r="G17" s="232" t="s">
        <v>176</v>
      </c>
      <c r="H17" s="232" t="s">
        <v>177</v>
      </c>
      <c r="I17" s="232" t="s">
        <v>306</v>
      </c>
    </row>
    <row r="18" spans="2:9" x14ac:dyDescent="0.2">
      <c r="B18" s="20" t="s">
        <v>298</v>
      </c>
      <c r="C18" s="235">
        <v>0.56296818351863021</v>
      </c>
      <c r="D18" s="235">
        <v>0.60405321422514335</v>
      </c>
      <c r="E18" s="235">
        <v>0.54180898049493065</v>
      </c>
      <c r="F18" s="235">
        <v>0.47017948567819545</v>
      </c>
      <c r="G18" s="235">
        <v>0.46822274462844077</v>
      </c>
      <c r="H18" s="235">
        <v>0.50170260453748983</v>
      </c>
      <c r="I18" s="235">
        <v>0.49113760549540303</v>
      </c>
    </row>
    <row r="19" spans="2:9" x14ac:dyDescent="0.2">
      <c r="B19" s="20" t="s">
        <v>299</v>
      </c>
      <c r="C19" s="235">
        <v>0.25528426376103186</v>
      </c>
      <c r="D19" s="235">
        <v>0.26609696286792661</v>
      </c>
      <c r="E19" s="235">
        <v>0.21035090015015731</v>
      </c>
      <c r="F19" s="235">
        <v>0.11924043043362401</v>
      </c>
      <c r="G19" s="235">
        <v>0.12092285126692787</v>
      </c>
      <c r="H19" s="235">
        <v>0.11470692493252921</v>
      </c>
      <c r="I19" s="235">
        <v>0.11704386914430294</v>
      </c>
    </row>
    <row r="20" spans="2:9" x14ac:dyDescent="0.2">
      <c r="B20" s="20" t="s">
        <v>115</v>
      </c>
      <c r="C20" s="46">
        <v>1.6107560022649416</v>
      </c>
      <c r="D20" s="46">
        <v>1.7342174738067726</v>
      </c>
      <c r="E20" s="46">
        <v>1.8598371361685302</v>
      </c>
      <c r="F20" s="46">
        <v>1.8598371361685302</v>
      </c>
      <c r="G20" s="46">
        <v>1.4939415548169583</v>
      </c>
      <c r="H20" s="46">
        <v>1.6277306818344246</v>
      </c>
      <c r="I20" s="46">
        <v>1.5044530933854867</v>
      </c>
    </row>
    <row r="21" spans="2:9" x14ac:dyDescent="0.2">
      <c r="B21" s="20" t="s">
        <v>116</v>
      </c>
      <c r="C21" s="46">
        <v>1.0215638399358693</v>
      </c>
      <c r="D21" s="46">
        <v>1.0846903851031628</v>
      </c>
      <c r="E21" s="46">
        <v>0.85157442462839483</v>
      </c>
      <c r="F21" s="46">
        <v>0.85157442462839483</v>
      </c>
      <c r="G21" s="46">
        <v>0.62980770352363846</v>
      </c>
      <c r="H21" s="46">
        <v>0.54097149022594071</v>
      </c>
      <c r="I21" s="46">
        <v>0.78114996128377234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13515-43FA-4F38-9C20-53D5790F179B}">
  <dimension ref="A1:AA38"/>
  <sheetViews>
    <sheetView showGridLines="0" zoomScaleNormal="100" workbookViewId="0">
      <pane xSplit="2" ySplit="5" topLeftCell="C6" activePane="bottomRight" state="frozen"/>
      <selection pane="topRight" activeCell="P28" sqref="P28"/>
      <selection pane="bottomLeft" activeCell="P28" sqref="P28"/>
      <selection pane="bottomRight" activeCell="K18" sqref="K18"/>
    </sheetView>
  </sheetViews>
  <sheetFormatPr defaultRowHeight="12.75" x14ac:dyDescent="0.2"/>
  <cols>
    <col min="1" max="1" width="6.28515625" style="20" customWidth="1"/>
    <col min="2" max="2" width="35.85546875" style="20" customWidth="1"/>
    <col min="3" max="3" width="14.7109375" style="20" customWidth="1"/>
    <col min="4" max="4" width="14.140625" style="20" customWidth="1"/>
    <col min="5" max="5" width="14" style="20" customWidth="1"/>
    <col min="6" max="6" width="14.140625" style="20" customWidth="1"/>
    <col min="7" max="7" width="13.85546875" style="20" customWidth="1"/>
    <col min="8" max="9" width="12.7109375" style="20" bestFit="1" customWidth="1"/>
    <col min="10" max="10" width="13.140625" style="20" customWidth="1"/>
    <col min="11" max="11" width="9.140625" style="20"/>
    <col min="12" max="12" width="17.140625" style="20" customWidth="1"/>
    <col min="13" max="13" width="9.140625" style="20"/>
    <col min="14" max="16" width="9.28515625" style="20" hidden="1" customWidth="1"/>
    <col min="17" max="17" width="12.42578125" style="20" hidden="1" customWidth="1"/>
    <col min="18" max="23" width="9.28515625" style="20" hidden="1" customWidth="1"/>
    <col min="24" max="24" width="9.140625" style="20" hidden="1" customWidth="1"/>
    <col min="25" max="16384" width="9.140625" style="20"/>
  </cols>
  <sheetData>
    <row r="1" spans="1:27" x14ac:dyDescent="0.2">
      <c r="A1" s="180">
        <f>'2022 IR Data Book'!$A$5</f>
        <v>1</v>
      </c>
    </row>
    <row r="2" spans="1:27" x14ac:dyDescent="0.2">
      <c r="A2" s="180"/>
    </row>
    <row r="3" spans="1:27" ht="15" x14ac:dyDescent="0.25">
      <c r="B3" s="71"/>
      <c r="Q3" s="72"/>
    </row>
    <row r="4" spans="1:27" ht="14.25" customHeight="1" x14ac:dyDescent="0.2">
      <c r="B4" s="73" t="s">
        <v>21</v>
      </c>
      <c r="C4" s="73"/>
      <c r="D4" s="74"/>
      <c r="E4" s="73"/>
      <c r="F4" s="73"/>
      <c r="G4" s="73"/>
      <c r="H4" s="74"/>
      <c r="I4" s="74"/>
      <c r="J4" s="193" t="s">
        <v>22</v>
      </c>
      <c r="K4" s="193"/>
      <c r="L4" s="193" t="s">
        <v>22</v>
      </c>
      <c r="M4" s="193"/>
    </row>
    <row r="5" spans="1:27" x14ac:dyDescent="0.2">
      <c r="B5" s="75"/>
      <c r="C5" s="220" t="s">
        <v>23</v>
      </c>
      <c r="D5" s="220" t="s">
        <v>24</v>
      </c>
      <c r="E5" s="220" t="s">
        <v>25</v>
      </c>
      <c r="F5" s="220" t="s">
        <v>26</v>
      </c>
      <c r="G5" s="220" t="s">
        <v>28</v>
      </c>
      <c r="H5" s="220" t="s">
        <v>29</v>
      </c>
      <c r="I5" s="220" t="s">
        <v>283</v>
      </c>
      <c r="J5" s="76" t="s">
        <v>284</v>
      </c>
      <c r="K5" s="76" t="s">
        <v>30</v>
      </c>
      <c r="L5" s="76" t="s">
        <v>291</v>
      </c>
      <c r="M5" s="76" t="s">
        <v>30</v>
      </c>
    </row>
    <row r="6" spans="1:27" x14ac:dyDescent="0.2">
      <c r="B6" s="77"/>
      <c r="C6" s="77"/>
      <c r="D6" s="78"/>
      <c r="E6" s="77"/>
      <c r="F6" s="77"/>
      <c r="G6" s="77"/>
      <c r="H6" s="78"/>
      <c r="I6" s="78"/>
      <c r="J6" s="78"/>
      <c r="K6" s="78"/>
      <c r="N6" s="91"/>
      <c r="O6" s="91"/>
      <c r="P6" s="91"/>
      <c r="Q6" s="91"/>
      <c r="R6" s="91"/>
      <c r="S6" s="91"/>
      <c r="T6" s="91"/>
      <c r="U6" s="91"/>
      <c r="V6" s="91"/>
      <c r="W6" s="91"/>
      <c r="X6" s="91"/>
    </row>
    <row r="7" spans="1:27" ht="15" x14ac:dyDescent="0.25">
      <c r="B7" s="199" t="s">
        <v>178</v>
      </c>
      <c r="C7" s="202">
        <f>1002142.34808517*('2022 IR Data Book'!$A$5)</f>
        <v>1002142.34808517</v>
      </c>
      <c r="D7" s="202">
        <f>1100781.67756688*('2022 IR Data Book'!$A$5)</f>
        <v>1100781.6775668799</v>
      </c>
      <c r="E7" s="202">
        <f>1069651.75737739*('2022 IR Data Book'!$A$5)</f>
        <v>1069651.7573773901</v>
      </c>
      <c r="F7" s="202">
        <f>1043644.04944887*('2022 IR Data Book'!$A$5)</f>
        <v>1043644.04944887</v>
      </c>
      <c r="G7" s="202">
        <f>911091.918675055*('2022 IR Data Book'!$A$5)</f>
        <v>911091.91867505503</v>
      </c>
      <c r="H7" s="202">
        <f>936163.101694755*('2022 IR Data Book'!$A$5)</f>
        <v>936163.10169475502</v>
      </c>
      <c r="I7" s="202">
        <f>913035.345530228*('2022 IR Data Book'!$A$5)</f>
        <v>913035.34553022799</v>
      </c>
      <c r="J7" s="203">
        <f>(I7-E7)</f>
        <v>-156616.41184716206</v>
      </c>
      <c r="K7" s="204">
        <f>J7/E7</f>
        <v>-0.146418131664795</v>
      </c>
      <c r="L7" s="203">
        <f>(H7+G7+I7)-(D7+C7+E7)</f>
        <v>-412285.41712940205</v>
      </c>
      <c r="M7" s="204">
        <f>L7/(D7+C7+E7)</f>
        <v>-0.12995289800003376</v>
      </c>
      <c r="N7" s="91">
        <f>C7-'Aramex Express+SNS'!C7-'Aramex Domestic'!C7</f>
        <v>-3.0859955586493015E-6</v>
      </c>
      <c r="O7" s="91">
        <f>D7-'Aramex Express+SNS'!D7-'Aramex Domestic'!D7</f>
        <v>1.862645149230957E-9</v>
      </c>
      <c r="P7" s="91">
        <f>E7-'Aramex Express+SNS'!E7-'Aramex Domestic'!E7</f>
        <v>-1.9790604710578918E-9</v>
      </c>
      <c r="Q7" s="91">
        <f>F7-'Aramex Express+SNS'!F7-'Aramex Domestic'!F7</f>
        <v>1.0477378964424133E-9</v>
      </c>
      <c r="R7" s="91">
        <f>G7-'Aramex Express+SNS'!G7-'Aramex Domestic'!G7</f>
        <v>0</v>
      </c>
      <c r="S7" s="91">
        <f>H7-'Aramex Express+SNS'!H7-'Aramex Domestic'!H7</f>
        <v>0</v>
      </c>
      <c r="T7" s="91">
        <f>I7-'Aramex Express+SNS'!I7-'Aramex Domestic'!I7</f>
        <v>0</v>
      </c>
      <c r="U7" s="91">
        <f>J7-'Aramex Express+SNS'!J7-'Aramex Domestic'!J7</f>
        <v>1.9790604710578918E-9</v>
      </c>
      <c r="V7" s="91">
        <f>K7-'Aramex Express+SNS'!K7-'Aramex Domestic'!K7</f>
        <v>0.13415722159405341</v>
      </c>
      <c r="W7" s="91">
        <f>L7-'Aramex Express+SNS'!L7-'Aramex Domestic'!L7</f>
        <v>3.0864030122756958E-6</v>
      </c>
      <c r="X7" s="91">
        <f>M7-'Aramex Express+SNS'!M7-'Aramex Domestic'!M7</f>
        <v>9.9455470958131786E-2</v>
      </c>
      <c r="AA7" s="2"/>
    </row>
    <row r="8" spans="1:27" ht="15" x14ac:dyDescent="0.25">
      <c r="B8" s="200" t="s">
        <v>181</v>
      </c>
      <c r="C8" s="205">
        <f>717028.001907232*('2022 IR Data Book'!$A$5)</f>
        <v>717028.00190723198</v>
      </c>
      <c r="D8" s="205">
        <f>775480.325927456*('2022 IR Data Book'!$A$5)</f>
        <v>775480.32592745603</v>
      </c>
      <c r="E8" s="205">
        <f>747513.363608859*('2022 IR Data Book'!$A$5)</f>
        <v>747513.36360885901</v>
      </c>
      <c r="F8" s="205">
        <f>786345.25681342*('2022 IR Data Book'!$A$5)</f>
        <v>786345.25681341998</v>
      </c>
      <c r="G8" s="205">
        <f>653884.911303184*('2022 IR Data Book'!$A$5)</f>
        <v>653884.911303184</v>
      </c>
      <c r="H8" s="205">
        <f>669113.309220393*('2022 IR Data Book'!$A$5)</f>
        <v>669113.30922039296</v>
      </c>
      <c r="I8" s="205">
        <f>643262.5889205*('2022 IR Data Book'!$A$5)</f>
        <v>643262.58892050001</v>
      </c>
      <c r="J8" s="206">
        <f>(I8-E8)</f>
        <v>-104250.774688359</v>
      </c>
      <c r="K8" s="207">
        <f>J8/E8</f>
        <v>-0.13946342602499459</v>
      </c>
      <c r="L8" s="206">
        <f>(H8+G8+I8)-(D8+C8+E8)</f>
        <v>-273760.88199947029</v>
      </c>
      <c r="M8" s="207">
        <f>L8/(D8+C8+E8)</f>
        <v>-0.12221349598764347</v>
      </c>
      <c r="N8" s="91">
        <f>C8-'Aramex Express+SNS'!C8-'Aramex Domestic'!C8</f>
        <v>-4.5515014789998531E-5</v>
      </c>
      <c r="O8" s="91">
        <f>D8-'Aramex Express+SNS'!D8-'Aramex Domestic'!D8</f>
        <v>9.0505986008793116E-5</v>
      </c>
      <c r="P8" s="91">
        <f>E8-'Aramex Express+SNS'!E8-'Aramex Domestic'!E8</f>
        <v>-3.600645249010995</v>
      </c>
      <c r="Q8" s="91">
        <f>F8-'Aramex Express+SNS'!F8-'Aramex Domestic'!F8</f>
        <v>-9.8953023552894592E-10</v>
      </c>
      <c r="R8" s="91">
        <f>G8-'Aramex Express+SNS'!G8-'Aramex Domestic'!G8</f>
        <v>9.8953023552894592E-10</v>
      </c>
      <c r="S8" s="91">
        <f>H8-'Aramex Express+SNS'!H8-'Aramex Domestic'!H8</f>
        <v>0</v>
      </c>
      <c r="T8" s="91">
        <f>I8-'Aramex Express+SNS'!I8-'Aramex Domestic'!I8</f>
        <v>1.1825771012809128E-2</v>
      </c>
      <c r="U8" s="91">
        <f>J8-'Aramex Express+SNS'!J8-'Aramex Domestic'!J8</f>
        <v>3.6124710200238042</v>
      </c>
      <c r="V8" s="91">
        <f>K8-'Aramex Express+SNS'!K8-'Aramex Domestic'!K8</f>
        <v>0.13158566901525293</v>
      </c>
      <c r="W8" s="91">
        <f>L8-'Aramex Express+SNS'!L8-'Aramex Domestic'!L8</f>
        <v>3.6124260297510773</v>
      </c>
      <c r="X8" s="91">
        <f>M8-'Aramex Express+SNS'!M8-'Aramex Domestic'!M8</f>
        <v>9.5062939817583902E-2</v>
      </c>
    </row>
    <row r="9" spans="1:27" ht="15" x14ac:dyDescent="0.25">
      <c r="B9" s="199" t="s">
        <v>182</v>
      </c>
      <c r="C9" s="202">
        <f t="shared" ref="C9:I9" si="0">C7-C8</f>
        <v>285114.34617793805</v>
      </c>
      <c r="D9" s="202">
        <f t="shared" si="0"/>
        <v>325301.35163942387</v>
      </c>
      <c r="E9" s="202">
        <f t="shared" si="0"/>
        <v>322138.39376853104</v>
      </c>
      <c r="F9" s="202">
        <f t="shared" si="0"/>
        <v>257298.79263545002</v>
      </c>
      <c r="G9" s="202">
        <f t="shared" si="0"/>
        <v>257207.00737187103</v>
      </c>
      <c r="H9" s="202">
        <f t="shared" si="0"/>
        <v>267049.79247436207</v>
      </c>
      <c r="I9" s="202">
        <f t="shared" si="0"/>
        <v>269772.75660972798</v>
      </c>
      <c r="J9" s="203">
        <f>(I9-E9)</f>
        <v>-52365.63715880306</v>
      </c>
      <c r="K9" s="204">
        <f>J9/E9</f>
        <v>-0.16255633656766105</v>
      </c>
      <c r="L9" s="203">
        <f>(H9+G9+I9)-(D9+C9+E9)</f>
        <v>-138524.53512993187</v>
      </c>
      <c r="M9" s="204">
        <f>L9/(D9+C9+E9)</f>
        <v>-0.1485431637475938</v>
      </c>
      <c r="N9" s="91">
        <f>C9-'Aramex Express+SNS'!C9-'Aramex Domestic'!C9</f>
        <v>4.242901923134923E-5</v>
      </c>
      <c r="O9" s="91">
        <f>D9-'Aramex Express+SNS'!D9-'Aramex Domestic'!D9</f>
        <v>-9.0504123363643885E-5</v>
      </c>
      <c r="P9" s="91">
        <f>E9-'Aramex Express+SNS'!E9-'Aramex Domestic'!E9</f>
        <v>3.6006452470319346</v>
      </c>
      <c r="Q9" s="91">
        <f>F9-'Aramex Express+SNS'!F9-'Aramex Domestic'!F9</f>
        <v>2.0372681319713593E-9</v>
      </c>
      <c r="R9" s="91">
        <f>G9-'Aramex Express+SNS'!G9-'Aramex Domestic'!G9</f>
        <v>-9.8953023552894592E-10</v>
      </c>
      <c r="S9" s="91">
        <f>H9-'Aramex Express+SNS'!H9-'Aramex Domestic'!H9</f>
        <v>0</v>
      </c>
      <c r="T9" s="91">
        <f>I9-'Aramex Express+SNS'!I9-'Aramex Domestic'!I9</f>
        <v>-1.1825771012809128E-2</v>
      </c>
      <c r="U9" s="91">
        <f>J9-'Aramex Express+SNS'!J9-'Aramex Domestic'!J9</f>
        <v>-3.6124710180447437</v>
      </c>
      <c r="V9" s="91">
        <f>K9-'Aramex Express+SNS'!K9-'Aramex Domestic'!K9</f>
        <v>0.13681251409182577</v>
      </c>
      <c r="W9" s="91">
        <f>L9-'Aramex Express+SNS'!L9-'Aramex Domestic'!L9</f>
        <v>-3.6124229438137263</v>
      </c>
      <c r="X9" s="91">
        <f>M9-'Aramex Express+SNS'!M9-'Aramex Domestic'!M9</f>
        <v>0.11508708293543977</v>
      </c>
    </row>
    <row r="10" spans="1:27" ht="15" x14ac:dyDescent="0.25">
      <c r="B10" s="201" t="s">
        <v>183</v>
      </c>
      <c r="C10" s="208">
        <f t="shared" ref="C10:I10" si="1">C9/C7</f>
        <v>0.28450483778349095</v>
      </c>
      <c r="D10" s="208">
        <f t="shared" si="1"/>
        <v>0.29551850132394636</v>
      </c>
      <c r="E10" s="208">
        <f t="shared" si="1"/>
        <v>0.3011619356923802</v>
      </c>
      <c r="F10" s="208">
        <f t="shared" si="1"/>
        <v>0.2465388393402185</v>
      </c>
      <c r="G10" s="208">
        <f t="shared" si="1"/>
        <v>0.28230632069035511</v>
      </c>
      <c r="H10" s="208">
        <f t="shared" si="1"/>
        <v>0.28525989968085308</v>
      </c>
      <c r="I10" s="208">
        <f t="shared" si="1"/>
        <v>0.29546803191180138</v>
      </c>
      <c r="J10" s="208"/>
      <c r="K10" s="208"/>
      <c r="L10" s="208"/>
      <c r="M10" s="208"/>
      <c r="N10" s="91">
        <f>C10-'Aramex Express+SNS'!C10-'Aramex Domestic'!C10</f>
        <v>-0.26114697747255389</v>
      </c>
      <c r="O10" s="91">
        <f>D10-'Aramex Express+SNS'!D10-'Aramex Domestic'!D10</f>
        <v>-0.27053011946027627</v>
      </c>
      <c r="P10" s="91">
        <f>E10-'Aramex Express+SNS'!E10-'Aramex Domestic'!E10</f>
        <v>-0.29510918545104819</v>
      </c>
      <c r="Q10" s="91">
        <f>F10-'Aramex Express+SNS'!F10-'Aramex Domestic'!F10</f>
        <v>-0.22534378702330954</v>
      </c>
      <c r="R10" s="91">
        <f>G10-'Aramex Express+SNS'!G10-'Aramex Domestic'!G10</f>
        <v>-0.26217911023222867</v>
      </c>
      <c r="S10" s="91">
        <f>H10-'Aramex Express+SNS'!H10-'Aramex Domestic'!H10</f>
        <v>-0.2605301252738752</v>
      </c>
      <c r="T10" s="91">
        <f>I10-'Aramex Express+SNS'!I10-'Aramex Domestic'!I10</f>
        <v>-0.2927604871434884</v>
      </c>
      <c r="U10" s="91">
        <f>J10-'Aramex Express+SNS'!J10-'Aramex Domestic'!J10</f>
        <v>0</v>
      </c>
      <c r="V10" s="91">
        <f>K10-'Aramex Express+SNS'!K10-'Aramex Domestic'!K10</f>
        <v>0</v>
      </c>
      <c r="W10" s="91">
        <f>L10-'Aramex Express+SNS'!L10-'Aramex Domestic'!L10</f>
        <v>0</v>
      </c>
      <c r="X10" s="91">
        <f>M10-'Aramex Express+SNS'!M10-'Aramex Domestic'!M10</f>
        <v>0</v>
      </c>
    </row>
    <row r="11" spans="1:27" ht="15" x14ac:dyDescent="0.25">
      <c r="B11" s="80" t="s">
        <v>184</v>
      </c>
      <c r="C11" s="209">
        <f>223548.286214403*('2022 IR Data Book'!$A$5)</f>
        <v>223548.28621440299</v>
      </c>
      <c r="D11" s="209">
        <f>225862.194456106*('2022 IR Data Book'!$A$5)</f>
        <v>225862.19445610599</v>
      </c>
      <c r="E11" s="209">
        <f>275607.908898911*('2022 IR Data Book'!$A$5)</f>
        <v>275607.90889891097</v>
      </c>
      <c r="F11" s="209">
        <f>225542.369791633*('2022 IR Data Book'!$A$5)</f>
        <v>225542.36979163301</v>
      </c>
      <c r="G11" s="209">
        <f>209366.504356654*('2022 IR Data Book'!$A$5)</f>
        <v>209366.50435665401</v>
      </c>
      <c r="H11" s="209">
        <f>223574.750107218*('2022 IR Data Book'!$A$5)</f>
        <v>223574.75010721799</v>
      </c>
      <c r="I11" s="209">
        <f>256404.184936925*('2022 IR Data Book'!$A$5)</f>
        <v>256404.18493692501</v>
      </c>
      <c r="J11" s="210">
        <f>(I11-E11)</f>
        <v>-19203.723961985961</v>
      </c>
      <c r="K11" s="207">
        <f>J11/E11</f>
        <v>-6.9677695530245512E-2</v>
      </c>
      <c r="L11" s="210">
        <f>(H11+G11+I11)-(D11+C11+E11)</f>
        <v>-35672.95016862289</v>
      </c>
      <c r="M11" s="207">
        <f>L11/(D11+C11+E11)</f>
        <v>-4.9202821172313498E-2</v>
      </c>
      <c r="N11" s="91" t="e">
        <f>C11-'Aramex Express+SNS'!#REF!-'Aramex Domestic'!#REF!</f>
        <v>#REF!</v>
      </c>
      <c r="O11" s="91" t="e">
        <f>D11-'Aramex Express+SNS'!#REF!-'Aramex Domestic'!#REF!</f>
        <v>#REF!</v>
      </c>
      <c r="P11" s="91" t="e">
        <f>E11-'Aramex Express+SNS'!#REF!-'Aramex Domestic'!#REF!</f>
        <v>#REF!</v>
      </c>
      <c r="Q11" s="91" t="e">
        <f>F11-'Aramex Express+SNS'!#REF!-'Aramex Domestic'!#REF!</f>
        <v>#REF!</v>
      </c>
      <c r="R11" s="91" t="e">
        <f>G11-'Aramex Express+SNS'!#REF!-'Aramex Domestic'!#REF!</f>
        <v>#REF!</v>
      </c>
      <c r="S11" s="91" t="e">
        <f>H11-'Aramex Express+SNS'!#REF!-'Aramex Domestic'!#REF!</f>
        <v>#REF!</v>
      </c>
      <c r="T11" s="91" t="e">
        <f>I11-'Aramex Express+SNS'!#REF!-'Aramex Domestic'!#REF!</f>
        <v>#REF!</v>
      </c>
      <c r="U11" s="91" t="e">
        <f>J11-'Aramex Express+SNS'!#REF!-'Aramex Domestic'!#REF!</f>
        <v>#REF!</v>
      </c>
      <c r="V11" s="91" t="e">
        <f>K11-'Aramex Express+SNS'!#REF!-'Aramex Domestic'!#REF!</f>
        <v>#REF!</v>
      </c>
      <c r="W11" s="91" t="e">
        <f>L11-'Aramex Express+SNS'!#REF!-'Aramex Domestic'!#REF!</f>
        <v>#REF!</v>
      </c>
      <c r="X11" s="91" t="e">
        <f>M11-'Aramex Express+SNS'!#REF!-'Aramex Domestic'!#REF!</f>
        <v>#REF!</v>
      </c>
    </row>
    <row r="12" spans="1:27" ht="15" x14ac:dyDescent="0.25">
      <c r="B12" s="81" t="s">
        <v>185</v>
      </c>
      <c r="C12" s="211">
        <f>67793.5305039601*('2022 IR Data Book'!$A$5)</f>
        <v>67793.530503960093</v>
      </c>
      <c r="D12" s="211">
        <f>104626.763731849*('2022 IR Data Book'!$A$5)</f>
        <v>104626.763731849</v>
      </c>
      <c r="E12" s="211">
        <f>42423.4319606453*('2022 IR Data Book'!$A$5)</f>
        <v>42423.431960645299</v>
      </c>
      <c r="F12" s="211">
        <f>40584.3396461287*('2022 IR Data Book'!$A$5)</f>
        <v>40584.339646128697</v>
      </c>
      <c r="G12" s="211">
        <f>52446.6927776414*('2022 IR Data Book'!$A$5)</f>
        <v>52446.692777641401</v>
      </c>
      <c r="H12" s="211">
        <f>40108.639869565*('2022 IR Data Book'!$A$5)</f>
        <v>40108.639869564999</v>
      </c>
      <c r="I12" s="211">
        <f>20147.1087077667*('2022 IR Data Book'!$A$5)</f>
        <v>20147.1087077667</v>
      </c>
      <c r="J12" s="211">
        <f>(I12-E12)</f>
        <v>-22276.323252878599</v>
      </c>
      <c r="K12" s="212">
        <f>J12/E12</f>
        <v>-0.5250947936872139</v>
      </c>
      <c r="L12" s="211">
        <f>(H12+G12+I12)-(D12+C12+E12)</f>
        <v>-102141.28484148129</v>
      </c>
      <c r="M12" s="212">
        <f>L12/(D12+C12+E12)</f>
        <v>-0.47542130575450309</v>
      </c>
      <c r="N12" s="91" t="e">
        <f>C12-'Aramex Express+SNS'!#REF!-'Aramex Domestic'!#REF!</f>
        <v>#REF!</v>
      </c>
      <c r="O12" s="91" t="e">
        <f>D12-'Aramex Express+SNS'!#REF!-'Aramex Domestic'!#REF!</f>
        <v>#REF!</v>
      </c>
      <c r="P12" s="91" t="e">
        <f>E12-'Aramex Express+SNS'!#REF!-'Aramex Domestic'!#REF!</f>
        <v>#REF!</v>
      </c>
      <c r="Q12" s="91" t="e">
        <f>F12-'Aramex Express+SNS'!#REF!-'Aramex Domestic'!#REF!</f>
        <v>#REF!</v>
      </c>
      <c r="R12" s="91" t="e">
        <f>G12-'Aramex Express+SNS'!#REF!-'Aramex Domestic'!#REF!</f>
        <v>#REF!</v>
      </c>
      <c r="S12" s="91" t="e">
        <f>H12-'Aramex Express+SNS'!#REF!-'Aramex Domestic'!#REF!</f>
        <v>#REF!</v>
      </c>
      <c r="T12" s="91" t="e">
        <f>I12-'Aramex Express+SNS'!#REF!-'Aramex Domestic'!#REF!</f>
        <v>#REF!</v>
      </c>
      <c r="U12" s="91" t="e">
        <f>J12-'Aramex Express+SNS'!#REF!-'Aramex Domestic'!#REF!</f>
        <v>#REF!</v>
      </c>
      <c r="V12" s="91" t="e">
        <f>K12-'Aramex Express+SNS'!#REF!-'Aramex Domestic'!#REF!</f>
        <v>#REF!</v>
      </c>
      <c r="W12" s="91" t="e">
        <f>L12-'Aramex Express+SNS'!#REF!-'Aramex Domestic'!#REF!</f>
        <v>#REF!</v>
      </c>
      <c r="X12" s="91" t="e">
        <f>M12-'Aramex Express+SNS'!#REF!-'Aramex Domestic'!#REF!</f>
        <v>#REF!</v>
      </c>
    </row>
    <row r="13" spans="1:27" ht="15" x14ac:dyDescent="0.25">
      <c r="B13" s="71" t="s">
        <v>186</v>
      </c>
      <c r="C13" s="208">
        <f t="shared" ref="C13:I13" si="2">C12/C7</f>
        <v>6.7648603647471509E-2</v>
      </c>
      <c r="D13" s="208">
        <f t="shared" si="2"/>
        <v>9.5047697344591953E-2</v>
      </c>
      <c r="E13" s="208">
        <f t="shared" si="2"/>
        <v>3.9660975329634918E-2</v>
      </c>
      <c r="F13" s="208">
        <f t="shared" si="2"/>
        <v>3.8887147076209147E-2</v>
      </c>
      <c r="G13" s="208">
        <f t="shared" si="2"/>
        <v>5.7564655884459387E-2</v>
      </c>
      <c r="H13" s="208">
        <f t="shared" si="2"/>
        <v>4.2843645297443916E-2</v>
      </c>
      <c r="I13" s="208">
        <f t="shared" si="2"/>
        <v>2.2066077514301102E-2</v>
      </c>
      <c r="J13" s="208"/>
      <c r="K13" s="208"/>
      <c r="L13" s="208"/>
      <c r="M13" s="208"/>
      <c r="N13" s="91" t="e">
        <f>C13-'Aramex Express+SNS'!#REF!-'Aramex Domestic'!#REF!</f>
        <v>#REF!</v>
      </c>
      <c r="O13" s="91" t="e">
        <f>D13-'Aramex Express+SNS'!#REF!-'Aramex Domestic'!#REF!</f>
        <v>#REF!</v>
      </c>
      <c r="P13" s="91" t="e">
        <f>E13-'Aramex Express+SNS'!#REF!-'Aramex Domestic'!#REF!</f>
        <v>#REF!</v>
      </c>
      <c r="Q13" s="91" t="e">
        <f>F13-'Aramex Express+SNS'!#REF!-'Aramex Domestic'!#REF!</f>
        <v>#REF!</v>
      </c>
      <c r="R13" s="91" t="e">
        <f>G13-'Aramex Express+SNS'!#REF!-'Aramex Domestic'!#REF!</f>
        <v>#REF!</v>
      </c>
      <c r="S13" s="91" t="e">
        <f>H13-'Aramex Express+SNS'!#REF!-'Aramex Domestic'!#REF!</f>
        <v>#REF!</v>
      </c>
      <c r="T13" s="91" t="e">
        <f>I13-'Aramex Express+SNS'!#REF!-'Aramex Domestic'!#REF!</f>
        <v>#REF!</v>
      </c>
      <c r="U13" s="91" t="e">
        <f>J13-'Aramex Express+SNS'!#REF!-'Aramex Domestic'!#REF!</f>
        <v>#REF!</v>
      </c>
      <c r="V13" s="91" t="e">
        <f>K13-'Aramex Express+SNS'!#REF!-'Aramex Domestic'!#REF!</f>
        <v>#REF!</v>
      </c>
      <c r="W13" s="91" t="e">
        <f>L13-'Aramex Express+SNS'!#REF!-'Aramex Domestic'!#REF!</f>
        <v>#REF!</v>
      </c>
      <c r="X13" s="91" t="e">
        <f>M13-'Aramex Express+SNS'!#REF!-'Aramex Domestic'!#REF!</f>
        <v>#REF!</v>
      </c>
    </row>
    <row r="14" spans="1:27" ht="15" x14ac:dyDescent="0.25">
      <c r="B14" s="81" t="s">
        <v>187</v>
      </c>
      <c r="C14" s="211">
        <f>126971.790482873*('2022 IR Data Book'!$A$5)</f>
        <v>126971.790482873</v>
      </c>
      <c r="D14" s="211">
        <f>164433.595675243*('2022 IR Data Book'!$A$5)</f>
        <v>164433.59567524301</v>
      </c>
      <c r="E14" s="211">
        <f>113372.50878968*('2022 IR Data Book'!$A$5)</f>
        <v>113372.50878968</v>
      </c>
      <c r="F14" s="211">
        <f>97113.9767199688*('2022 IR Data Book'!$A$5)</f>
        <v>97113.976719968807</v>
      </c>
      <c r="G14" s="211">
        <f>111870.829071796*('2022 IR Data Book'!$A$5)</f>
        <v>111870.829071796</v>
      </c>
      <c r="H14" s="211">
        <f>98398.969368273*('2022 IR Data Book'!$A$5)</f>
        <v>98398.969368272999</v>
      </c>
      <c r="I14" s="211">
        <f>89569.4117087153*('2022 IR Data Book'!$A$5)</f>
        <v>89569.411708715299</v>
      </c>
      <c r="J14" s="211">
        <f>(I14-E14)</f>
        <v>-23803.097080964697</v>
      </c>
      <c r="K14" s="212">
        <f>J14/E14</f>
        <v>-0.20995475300914776</v>
      </c>
      <c r="L14" s="211">
        <f>(H14+G14+I14)-(D14+C14+E14)</f>
        <v>-104938.68479901168</v>
      </c>
      <c r="M14" s="212">
        <f>L14/(D14+C14+E14)</f>
        <v>-0.2592500383760965</v>
      </c>
      <c r="N14" s="91" t="e">
        <f>C14-'Aramex Express+SNS'!#REF!-'Aramex Domestic'!#REF!</f>
        <v>#REF!</v>
      </c>
      <c r="O14" s="91" t="e">
        <f>D14-'Aramex Express+SNS'!#REF!-'Aramex Domestic'!#REF!</f>
        <v>#REF!</v>
      </c>
      <c r="P14" s="91" t="e">
        <f>E14-'Aramex Express+SNS'!#REF!-'Aramex Domestic'!#REF!</f>
        <v>#REF!</v>
      </c>
      <c r="Q14" s="91" t="e">
        <f>F14-'Aramex Express+SNS'!#REF!-'Aramex Domestic'!#REF!</f>
        <v>#REF!</v>
      </c>
      <c r="R14" s="91" t="e">
        <f>G14-'Aramex Express+SNS'!#REF!-'Aramex Domestic'!#REF!</f>
        <v>#REF!</v>
      </c>
      <c r="S14" s="91" t="e">
        <f>H14-'Aramex Express+SNS'!#REF!-'Aramex Domestic'!#REF!</f>
        <v>#REF!</v>
      </c>
      <c r="T14" s="91" t="e">
        <f>I14-'Aramex Express+SNS'!#REF!-'Aramex Domestic'!#REF!</f>
        <v>#REF!</v>
      </c>
      <c r="U14" s="91" t="e">
        <f>J14-'Aramex Express+SNS'!#REF!-'Aramex Domestic'!#REF!</f>
        <v>#REF!</v>
      </c>
      <c r="V14" s="91" t="e">
        <f>K14-'Aramex Express+SNS'!#REF!-'Aramex Domestic'!#REF!</f>
        <v>#REF!</v>
      </c>
      <c r="W14" s="91" t="e">
        <f>L14-'Aramex Express+SNS'!#REF!-'Aramex Domestic'!#REF!</f>
        <v>#REF!</v>
      </c>
      <c r="X14" s="91" t="e">
        <f>M14-'Aramex Express+SNS'!#REF!-'Aramex Domestic'!#REF!</f>
        <v>#REF!</v>
      </c>
    </row>
    <row r="15" spans="1:27" ht="15" x14ac:dyDescent="0.25">
      <c r="B15" s="71" t="s">
        <v>188</v>
      </c>
      <c r="C15" s="208">
        <f t="shared" ref="C15:I15" si="3">C14/C7</f>
        <v>0.12670035422161596</v>
      </c>
      <c r="D15" s="208">
        <f t="shared" si="3"/>
        <v>0.14937893592006354</v>
      </c>
      <c r="E15" s="208">
        <f t="shared" si="3"/>
        <v>0.10599011127476733</v>
      </c>
      <c r="F15" s="208">
        <f t="shared" si="3"/>
        <v>9.305277673096779E-2</v>
      </c>
      <c r="G15" s="208">
        <f t="shared" si="3"/>
        <v>0.12278764280390378</v>
      </c>
      <c r="H15" s="208">
        <f t="shared" si="3"/>
        <v>0.10510878840464803</v>
      </c>
      <c r="I15" s="208">
        <f t="shared" si="3"/>
        <v>9.8100705681552297E-2</v>
      </c>
      <c r="J15" s="208"/>
      <c r="K15" s="208"/>
      <c r="L15" s="208"/>
      <c r="M15" s="208"/>
      <c r="N15" s="91" t="e">
        <f>C15-'Aramex Express+SNS'!#REF!-'Aramex Domestic'!#REF!</f>
        <v>#REF!</v>
      </c>
      <c r="O15" s="91" t="e">
        <f>D15-'Aramex Express+SNS'!#REF!-'Aramex Domestic'!#REF!</f>
        <v>#REF!</v>
      </c>
      <c r="P15" s="91" t="e">
        <f>E15-'Aramex Express+SNS'!#REF!-'Aramex Domestic'!#REF!</f>
        <v>#REF!</v>
      </c>
      <c r="Q15" s="91" t="e">
        <f>F15-'Aramex Express+SNS'!#REF!-'Aramex Domestic'!#REF!</f>
        <v>#REF!</v>
      </c>
      <c r="R15" s="91" t="e">
        <f>G15-'Aramex Express+SNS'!#REF!-'Aramex Domestic'!#REF!</f>
        <v>#REF!</v>
      </c>
      <c r="S15" s="91" t="e">
        <f>H15-'Aramex Express+SNS'!#REF!-'Aramex Domestic'!#REF!</f>
        <v>#REF!</v>
      </c>
      <c r="T15" s="91" t="e">
        <f>I15-'Aramex Express+SNS'!#REF!-'Aramex Domestic'!#REF!</f>
        <v>#REF!</v>
      </c>
      <c r="U15" s="91" t="e">
        <f>J15-'Aramex Express+SNS'!#REF!-'Aramex Domestic'!#REF!</f>
        <v>#REF!</v>
      </c>
      <c r="V15" s="91" t="e">
        <f>K15-'Aramex Express+SNS'!#REF!-'Aramex Domestic'!#REF!</f>
        <v>#REF!</v>
      </c>
      <c r="W15" s="91" t="e">
        <f>L15-'Aramex Express+SNS'!#REF!-'Aramex Domestic'!#REF!</f>
        <v>#REF!</v>
      </c>
      <c r="X15" s="91" t="e">
        <f>M15-'Aramex Express+SNS'!#REF!-'Aramex Domestic'!#REF!</f>
        <v>#REF!</v>
      </c>
    </row>
    <row r="17" spans="2:11" x14ac:dyDescent="0.2">
      <c r="B17" s="197" t="s">
        <v>189</v>
      </c>
      <c r="C17" s="198"/>
      <c r="D17" s="198"/>
      <c r="E17" s="198"/>
      <c r="F17" s="198"/>
      <c r="G17" s="198"/>
      <c r="H17" s="198"/>
      <c r="I17" s="198"/>
    </row>
    <row r="18" spans="2:11" x14ac:dyDescent="0.2">
      <c r="B18" s="79" t="s">
        <v>190</v>
      </c>
      <c r="C18" s="91">
        <v>25388838</v>
      </c>
      <c r="D18" s="91">
        <v>25800486</v>
      </c>
      <c r="E18" s="91">
        <v>27600108</v>
      </c>
      <c r="F18" s="91">
        <v>29436845</v>
      </c>
      <c r="G18" s="91">
        <f>'Historic Express Rev_Vol_ Data'!J27*1000000</f>
        <v>25008344</v>
      </c>
      <c r="H18" s="28">
        <v>24101160</v>
      </c>
      <c r="I18" s="28">
        <v>24481680</v>
      </c>
    </row>
    <row r="19" spans="2:11" x14ac:dyDescent="0.2">
      <c r="B19" s="79" t="s">
        <v>191</v>
      </c>
      <c r="C19" s="91">
        <v>6203827</v>
      </c>
      <c r="D19" s="91">
        <v>7200104</v>
      </c>
      <c r="E19" s="91">
        <v>6300214</v>
      </c>
      <c r="F19" s="91">
        <v>6052494</v>
      </c>
      <c r="G19" s="91">
        <f>'Historic Express Rev_Vol_ Data'!J26*1000000</f>
        <v>5339769</v>
      </c>
      <c r="H19" s="28">
        <v>5930134</v>
      </c>
      <c r="I19" s="28">
        <v>5123776</v>
      </c>
    </row>
    <row r="20" spans="2:11" ht="13.5" thickBot="1" x14ac:dyDescent="0.25">
      <c r="B20" s="92" t="s">
        <v>192</v>
      </c>
      <c r="C20" s="93">
        <f>SUM(C18:C19)</f>
        <v>31592665</v>
      </c>
      <c r="D20" s="93">
        <f t="shared" ref="D20:H20" si="4">SUM(D18:D19)</f>
        <v>33000590</v>
      </c>
      <c r="E20" s="93">
        <f t="shared" si="4"/>
        <v>33900322</v>
      </c>
      <c r="F20" s="93">
        <f t="shared" si="4"/>
        <v>35489339</v>
      </c>
      <c r="G20" s="93">
        <f t="shared" si="4"/>
        <v>30348113</v>
      </c>
      <c r="H20" s="93">
        <f t="shared" si="4"/>
        <v>30031294</v>
      </c>
      <c r="I20" s="93">
        <f t="shared" ref="I20" si="5">SUM(I18:I19)</f>
        <v>29605456</v>
      </c>
    </row>
    <row r="21" spans="2:11" ht="13.5" thickTop="1" x14ac:dyDescent="0.2"/>
    <row r="22" spans="2:11" x14ac:dyDescent="0.2">
      <c r="B22" s="197" t="s">
        <v>193</v>
      </c>
      <c r="C22" s="198"/>
      <c r="D22" s="198"/>
      <c r="E22" s="198"/>
      <c r="F22" s="198"/>
      <c r="G22" s="198"/>
      <c r="H22" s="198"/>
      <c r="I22" s="198"/>
    </row>
    <row r="23" spans="2:11" x14ac:dyDescent="0.2">
      <c r="B23" s="79" t="s">
        <v>194</v>
      </c>
      <c r="C23" s="90">
        <f>('Historic Express Rev_Vol_ Data'!C22*1000)/C18</f>
        <v>14.006854667604639</v>
      </c>
      <c r="D23" s="90">
        <f>'Historic Express Rev_Vol_ Data'!D22*1000/'Aramex Courier'!D18</f>
        <v>14.233294849517796</v>
      </c>
      <c r="E23" s="90">
        <f>'Historic Express Rev_Vol_ Data'!E22*1000/'Aramex Courier'!E18</f>
        <v>16.694678560430923</v>
      </c>
      <c r="F23" s="90">
        <f>'Historic Express Rev_Vol_ Data'!F22*1000/'Aramex Courier'!F18</f>
        <v>12.645743147326691</v>
      </c>
      <c r="G23" s="90">
        <f>'Historic Express Rev_Vol_ Data'!C27*1000/'Aramex Courier'!G18</f>
        <v>14.129145260947427</v>
      </c>
      <c r="H23" s="90">
        <f>'Historic Express Rev_Vol_ Data'!D27*1000/'Aramex Courier'!H18</f>
        <v>14.483628829469744</v>
      </c>
      <c r="I23" s="90">
        <f>'Historic Express Rev_Vol_ Data'!E27*1000/'Aramex Courier'!I18</f>
        <v>17.014169241020141</v>
      </c>
      <c r="K23" s="140"/>
    </row>
    <row r="24" spans="2:11" x14ac:dyDescent="0.2">
      <c r="B24" s="79" t="s">
        <v>195</v>
      </c>
      <c r="C24" s="94">
        <f>'Historic Express Rev_Vol_ Data'!C21*1000/C19</f>
        <v>104.21379997312479</v>
      </c>
      <c r="D24" s="94">
        <f>'Historic Express Rev_Vol_ Data'!D21*1000/D19</f>
        <v>101.88124256898971</v>
      </c>
      <c r="E24" s="94">
        <f>'Historic Express Rev_Vol_ Data'!E21*1000/E19</f>
        <v>96.643832429218108</v>
      </c>
      <c r="F24" s="94">
        <f>'Historic Express Rev_Vol_ Data'!F21*1000/F19</f>
        <v>110.92830954554603</v>
      </c>
      <c r="G24" s="94">
        <f>'Historic Express Rev_Vol_ Data'!C26*1000/G19</f>
        <v>104.45122130889257</v>
      </c>
      <c r="H24" s="94">
        <f>'Historic Express Rev_Vol_ Data'!D26*1000/H19</f>
        <v>99.001278214409297</v>
      </c>
      <c r="I24" s="94">
        <f>'Historic Express Rev_Vol_ Data'!E26*1000/I19</f>
        <v>96.901172100645695</v>
      </c>
      <c r="K24" s="140"/>
    </row>
    <row r="25" spans="2:11" x14ac:dyDescent="0.2">
      <c r="B25" s="79" t="s">
        <v>196</v>
      </c>
      <c r="C25" s="140">
        <f t="shared" ref="C25:I25" si="6">C7*1000/C20</f>
        <v>31.720728469256077</v>
      </c>
      <c r="D25" s="140">
        <f t="shared" si="6"/>
        <v>33.356424159897749</v>
      </c>
      <c r="E25" s="140">
        <f t="shared" si="6"/>
        <v>31.552849479641818</v>
      </c>
      <c r="F25" s="140">
        <f t="shared" si="6"/>
        <v>29.407255216809478</v>
      </c>
      <c r="G25" s="140">
        <f t="shared" si="6"/>
        <v>30.021369654022806</v>
      </c>
      <c r="H25" s="140">
        <f t="shared" si="6"/>
        <v>31.172919212031125</v>
      </c>
      <c r="I25" s="140">
        <f t="shared" si="6"/>
        <v>30.840104118991714</v>
      </c>
      <c r="K25" s="140"/>
    </row>
    <row r="26" spans="2:11" x14ac:dyDescent="0.2">
      <c r="B26" s="79" t="s">
        <v>197</v>
      </c>
      <c r="C26" s="140">
        <f t="shared" ref="C26:I26" si="7">C8*1000/C20</f>
        <v>22.696027761736211</v>
      </c>
      <c r="D26" s="140">
        <f t="shared" si="7"/>
        <v>23.498983682638887</v>
      </c>
      <c r="E26" s="140">
        <f t="shared" si="7"/>
        <v>22.050332253742578</v>
      </c>
      <c r="F26" s="140">
        <f t="shared" si="7"/>
        <v>22.15722464747568</v>
      </c>
      <c r="G26" s="140">
        <f t="shared" si="7"/>
        <v>21.54614724491055</v>
      </c>
      <c r="H26" s="140">
        <f t="shared" si="7"/>
        <v>22.280535404847789</v>
      </c>
      <c r="I26" s="140">
        <f t="shared" si="7"/>
        <v>21.727839250998194</v>
      </c>
      <c r="K26" s="140"/>
    </row>
    <row r="27" spans="2:11" x14ac:dyDescent="0.2">
      <c r="B27" s="59"/>
    </row>
    <row r="28" spans="2:11" x14ac:dyDescent="0.2">
      <c r="B28" s="59"/>
    </row>
    <row r="29" spans="2:11" x14ac:dyDescent="0.2">
      <c r="B29" s="197" t="s">
        <v>315</v>
      </c>
      <c r="C29" s="198"/>
      <c r="D29" s="198"/>
      <c r="E29" s="198"/>
      <c r="F29" s="198"/>
      <c r="G29" s="198"/>
      <c r="H29" s="198"/>
      <c r="I29" s="198"/>
    </row>
    <row r="30" spans="2:11" x14ac:dyDescent="0.2">
      <c r="B30" s="20" t="s">
        <v>198</v>
      </c>
      <c r="C30" s="33">
        <v>0.152577200423126</v>
      </c>
      <c r="D30" s="33">
        <v>2.3966531609071615E-2</v>
      </c>
      <c r="E30" s="33">
        <v>0.21096712348209742</v>
      </c>
      <c r="F30" s="33">
        <v>-0.50603457358194681</v>
      </c>
      <c r="G30" s="33">
        <v>-0.12997761366469657</v>
      </c>
      <c r="H30" s="33">
        <v>-0.1456710357954924</v>
      </c>
      <c r="I30" s="33">
        <v>-0.22696022174327612</v>
      </c>
    </row>
    <row r="31" spans="2:11" x14ac:dyDescent="0.2">
      <c r="B31" s="20" t="s">
        <v>316</v>
      </c>
      <c r="C31" s="33">
        <v>0.16158408014524933</v>
      </c>
      <c r="D31" s="33">
        <v>3.2094787197151142E-2</v>
      </c>
      <c r="E31" s="33">
        <v>-0.15124483145956866</v>
      </c>
      <c r="F31" s="33">
        <v>-0.1163290891270501</v>
      </c>
      <c r="G31" s="33">
        <v>-7.5593740614141286E-2</v>
      </c>
      <c r="H31" s="33">
        <v>-8.1699048165860697E-2</v>
      </c>
      <c r="I31" s="33">
        <v>-1.6038807431470476E-2</v>
      </c>
    </row>
    <row r="32" spans="2:11" x14ac:dyDescent="0.2">
      <c r="B32" s="20" t="s">
        <v>199</v>
      </c>
      <c r="C32" s="33">
        <v>0.16374774498274133</v>
      </c>
      <c r="D32" s="33">
        <v>8.8619476419337304E-2</v>
      </c>
      <c r="E32" s="33">
        <v>0.16507554945222619</v>
      </c>
      <c r="F32" s="33">
        <v>0.13430445446069067</v>
      </c>
      <c r="G32" s="33">
        <v>6.5297082802415585E-2</v>
      </c>
      <c r="H32" s="33">
        <v>2.8836174413781345E-2</v>
      </c>
      <c r="I32" s="33">
        <v>-4.1540690238117586E-2</v>
      </c>
    </row>
    <row r="33" spans="2:9" x14ac:dyDescent="0.2">
      <c r="B33" s="20" t="s">
        <v>200</v>
      </c>
      <c r="C33" s="33">
        <v>0.28624402381722924</v>
      </c>
      <c r="D33" s="33">
        <v>0.16274856711487709</v>
      </c>
      <c r="E33" s="33">
        <v>0.12714927969689371</v>
      </c>
      <c r="F33" s="33">
        <v>-0.11543776023608787</v>
      </c>
      <c r="G33" s="33">
        <v>-7.3772643839348419E-3</v>
      </c>
      <c r="H33" s="33">
        <v>-7.6077816423226099E-2</v>
      </c>
      <c r="I33" s="33">
        <v>-0.14639611273378372</v>
      </c>
    </row>
    <row r="34" spans="2:9" x14ac:dyDescent="0.2">
      <c r="B34" s="20" t="s">
        <v>201</v>
      </c>
      <c r="C34" s="33">
        <v>0.36178773180236151</v>
      </c>
      <c r="D34" s="33">
        <v>1.6527207347291007E-2</v>
      </c>
      <c r="E34" s="33">
        <v>0.26142739642494806</v>
      </c>
      <c r="F34" s="33">
        <v>-0.18684036638263388</v>
      </c>
      <c r="G34" s="33">
        <v>-4.6698353893166594E-2</v>
      </c>
      <c r="H34" s="33">
        <v>-9.0884272368164862E-2</v>
      </c>
      <c r="I34" s="33">
        <v>5.681586143758096E-2</v>
      </c>
    </row>
    <row r="35" spans="2:9" x14ac:dyDescent="0.2">
      <c r="B35" s="20" t="s">
        <v>317</v>
      </c>
      <c r="C35" s="33">
        <v>1.0015122380826256</v>
      </c>
      <c r="D35" s="33">
        <v>0.29352168107370491</v>
      </c>
      <c r="E35" s="33">
        <v>-0.51663572591501106</v>
      </c>
      <c r="F35" s="33">
        <v>-0.25419201998019175</v>
      </c>
      <c r="G35" s="33">
        <v>-0.40179264114617658</v>
      </c>
      <c r="H35" s="33">
        <v>-0.51001192897108483</v>
      </c>
      <c r="I35" s="33">
        <v>-0.53056344072306982</v>
      </c>
    </row>
    <row r="36" spans="2:9" x14ac:dyDescent="0.2">
      <c r="B36" s="20" t="s">
        <v>318</v>
      </c>
      <c r="C36" s="33">
        <v>0.427535393231879</v>
      </c>
      <c r="D36" s="33">
        <v>0.22452562450827826</v>
      </c>
      <c r="E36" s="33">
        <v>0.41919070543744852</v>
      </c>
      <c r="F36" s="33">
        <v>0.3053890781046103</v>
      </c>
      <c r="G36" s="33">
        <v>0.15045738528325428</v>
      </c>
      <c r="H36" s="33">
        <v>1.2535148527381784E-2</v>
      </c>
      <c r="I36" s="33">
        <v>-0.19917034567307315</v>
      </c>
    </row>
    <row r="37" spans="2:9" x14ac:dyDescent="0.2">
      <c r="B37" s="20" t="s">
        <v>202</v>
      </c>
      <c r="C37" s="33">
        <v>0.49694613394817494</v>
      </c>
      <c r="D37" s="33">
        <v>4.448801728516965E-2</v>
      </c>
      <c r="E37" s="33">
        <v>0.14984918003178546</v>
      </c>
      <c r="F37" s="33">
        <v>5.7741477565912531E-2</v>
      </c>
      <c r="G37" s="33">
        <v>-6.3108185801803843E-2</v>
      </c>
      <c r="H37" s="33">
        <v>-0.14357714617071346</v>
      </c>
      <c r="I37" s="33">
        <v>-0.15263893489408076</v>
      </c>
    </row>
    <row r="38" spans="2:9" x14ac:dyDescent="0.2">
      <c r="B38" s="20" t="s">
        <v>203</v>
      </c>
      <c r="C38" s="33">
        <v>-0.42569638975490903</v>
      </c>
      <c r="D38" s="33">
        <v>-0.18110337605619209</v>
      </c>
      <c r="E38" s="33">
        <v>-0.36055243932535619</v>
      </c>
      <c r="F38" s="33">
        <v>-0.23737727478744172</v>
      </c>
      <c r="G38" s="33">
        <v>-0.27867079054313448</v>
      </c>
      <c r="H38" s="33">
        <v>-0.10849668890005662</v>
      </c>
      <c r="I38" s="33">
        <v>-0.17040966096922985</v>
      </c>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612B-3673-4AD2-803F-FCCED2D1761C}">
  <sheetPr>
    <tabColor theme="7" tint="0.39997558519241921"/>
  </sheetPr>
  <dimension ref="A1:Q27"/>
  <sheetViews>
    <sheetView showGridLines="0" workbookViewId="0">
      <pane xSplit="2" ySplit="5" topLeftCell="C6" activePane="bottomRight" state="frozen"/>
      <selection pane="topRight" activeCell="P28" sqref="P28"/>
      <selection pane="bottomLeft" activeCell="P28" sqref="P28"/>
      <selection pane="bottomRight" activeCell="K16" sqref="K16"/>
    </sheetView>
  </sheetViews>
  <sheetFormatPr defaultRowHeight="12.75" x14ac:dyDescent="0.2"/>
  <cols>
    <col min="1" max="1" width="6.28515625" style="20" customWidth="1"/>
    <col min="2" max="2" width="35.85546875" style="20" customWidth="1"/>
    <col min="3" max="3" width="14.7109375" style="20" customWidth="1"/>
    <col min="4" max="4" width="14.140625" style="20" customWidth="1"/>
    <col min="5" max="5" width="14" style="20" customWidth="1"/>
    <col min="6" max="6" width="14.140625" style="20" customWidth="1"/>
    <col min="7" max="7" width="13.85546875" style="20" customWidth="1"/>
    <col min="8" max="9" width="12.7109375" style="20" bestFit="1" customWidth="1"/>
    <col min="10" max="10" width="13.140625" style="20" customWidth="1"/>
    <col min="11" max="11" width="9.140625" style="20"/>
    <col min="12" max="12" width="21.5703125" style="20" customWidth="1"/>
    <col min="13" max="16384" width="9.140625" style="20"/>
  </cols>
  <sheetData>
    <row r="1" spans="1:17" x14ac:dyDescent="0.2">
      <c r="A1" s="180">
        <f>'2022 IR Data Book'!$A$5</f>
        <v>1</v>
      </c>
    </row>
    <row r="2" spans="1:17" x14ac:dyDescent="0.2">
      <c r="A2" s="180"/>
    </row>
    <row r="3" spans="1:17" ht="15" x14ac:dyDescent="0.25">
      <c r="B3" s="71"/>
      <c r="Q3" s="72"/>
    </row>
    <row r="4" spans="1:17" ht="14.25" customHeight="1" x14ac:dyDescent="0.2">
      <c r="B4" s="73" t="s">
        <v>21</v>
      </c>
      <c r="C4" s="73"/>
      <c r="D4" s="74"/>
      <c r="E4" s="73"/>
      <c r="F4" s="73"/>
      <c r="G4" s="73"/>
      <c r="H4" s="74"/>
      <c r="I4" s="74"/>
      <c r="J4" s="193" t="s">
        <v>22</v>
      </c>
      <c r="K4" s="193"/>
      <c r="L4" s="193" t="s">
        <v>22</v>
      </c>
      <c r="M4" s="193"/>
    </row>
    <row r="5" spans="1:17" x14ac:dyDescent="0.2">
      <c r="B5" s="75"/>
      <c r="C5" s="220" t="s">
        <v>23</v>
      </c>
      <c r="D5" s="220" t="s">
        <v>24</v>
      </c>
      <c r="E5" s="220" t="s">
        <v>25</v>
      </c>
      <c r="F5" s="220" t="s">
        <v>26</v>
      </c>
      <c r="G5" s="220" t="s">
        <v>28</v>
      </c>
      <c r="H5" s="220" t="s">
        <v>29</v>
      </c>
      <c r="I5" s="220" t="s">
        <v>283</v>
      </c>
      <c r="J5" s="76" t="s">
        <v>284</v>
      </c>
      <c r="K5" s="76" t="s">
        <v>30</v>
      </c>
      <c r="L5" s="76" t="s">
        <v>291</v>
      </c>
      <c r="M5" s="76" t="s">
        <v>30</v>
      </c>
    </row>
    <row r="6" spans="1:17" x14ac:dyDescent="0.2">
      <c r="B6" s="77"/>
      <c r="C6" s="77"/>
      <c r="D6" s="78"/>
      <c r="E6" s="77"/>
      <c r="F6" s="77"/>
      <c r="G6" s="77"/>
      <c r="H6" s="78"/>
      <c r="I6" s="78"/>
      <c r="J6" s="78"/>
      <c r="K6" s="78"/>
    </row>
    <row r="7" spans="1:17" ht="15" x14ac:dyDescent="0.25">
      <c r="B7" s="199" t="s">
        <v>178</v>
      </c>
      <c r="C7" s="202">
        <f>646524.483858966*('2022 IR Data Book'!$A$5)</f>
        <v>646524.48385896604</v>
      </c>
      <c r="D7" s="202">
        <f>733555.714494972*('2022 IR Data Book'!$A$5)</f>
        <v>733555.71449497202</v>
      </c>
      <c r="E7" s="202">
        <f>608876.826084214*('2022 IR Data Book'!$A$5)</f>
        <v>608876.82608421403</v>
      </c>
      <c r="F7" s="202">
        <f>671393.266728448*('2022 IR Data Book'!$A$5)</f>
        <v>671393.26672844798</v>
      </c>
      <c r="G7" s="202">
        <f>557745.393561003*('2022 IR Data Book'!$A$5)</f>
        <v>557745.39356100303</v>
      </c>
      <c r="H7" s="202">
        <f>587090.845989309*('2022 IR Data Book'!$A$5)</f>
        <v>587090.84598930902</v>
      </c>
      <c r="I7" s="202">
        <f>496499.900127167*('2022 IR Data Book'!$A$5)</f>
        <v>496499.900127167</v>
      </c>
      <c r="J7" s="203">
        <f>(I7-E7)</f>
        <v>-112376.92595704703</v>
      </c>
      <c r="K7" s="204">
        <f>J7/E7</f>
        <v>-0.18456430125574219</v>
      </c>
      <c r="L7" s="203">
        <f>(H7+G7+I7)-(D7+C7+E7)</f>
        <v>-347620.88476067316</v>
      </c>
      <c r="M7" s="204">
        <f>L7/(D7+C7+E7)</f>
        <v>-0.17477546296349483</v>
      </c>
    </row>
    <row r="8" spans="1:17" ht="15" x14ac:dyDescent="0.25">
      <c r="B8" s="200" t="s">
        <v>181</v>
      </c>
      <c r="C8" s="205">
        <f>444124.447612567*('2022 IR Data Book'!$A$5)</f>
        <v>444124.44761256699</v>
      </c>
      <c r="D8" s="205">
        <f>498401.214070459*('2022 IR Data Book'!$A$5)</f>
        <v>498401.21407045901</v>
      </c>
      <c r="E8" s="205">
        <f>414055.145401605*('2022 IR Data Book'!$A$5)</f>
        <v>414055.145401605</v>
      </c>
      <c r="F8" s="205">
        <f>488160.771004556*('2022 IR Data Book'!$A$5)</f>
        <v>488160.77100455598</v>
      </c>
      <c r="G8" s="205">
        <f>380884.080416334*('2022 IR Data Book'!$A$5)</f>
        <v>380884.08041633398</v>
      </c>
      <c r="H8" s="205">
        <f>398324.710264466*('2022 IR Data Book'!$A$5)</f>
        <v>398324.710264466</v>
      </c>
      <c r="I8" s="205">
        <f>342797.531928598*('2022 IR Data Book'!$A$5)</f>
        <v>342797.53192859801</v>
      </c>
      <c r="J8" s="206">
        <f>(I8-E8)</f>
        <v>-71257.61347300699</v>
      </c>
      <c r="K8" s="207">
        <f>J8/E8</f>
        <v>-0.17209691574751959</v>
      </c>
      <c r="L8" s="206">
        <f>(H8+G8+I8)-(D8+C8+E8)</f>
        <v>-234574.48447523289</v>
      </c>
      <c r="M8" s="207">
        <f>L8/(D8+C8+E8)</f>
        <v>-0.17291596877251031</v>
      </c>
    </row>
    <row r="9" spans="1:17" ht="15" x14ac:dyDescent="0.25">
      <c r="B9" s="199" t="s">
        <v>182</v>
      </c>
      <c r="C9" s="202">
        <f t="shared" ref="C9:I9" si="0">C7-C8</f>
        <v>202400.03624639905</v>
      </c>
      <c r="D9" s="202">
        <f t="shared" si="0"/>
        <v>235154.50042451301</v>
      </c>
      <c r="E9" s="202">
        <f t="shared" si="0"/>
        <v>194821.68068260903</v>
      </c>
      <c r="F9" s="202">
        <f t="shared" si="0"/>
        <v>183232.495723892</v>
      </c>
      <c r="G9" s="202">
        <f t="shared" si="0"/>
        <v>176861.31314466905</v>
      </c>
      <c r="H9" s="202">
        <f t="shared" si="0"/>
        <v>188766.13572484301</v>
      </c>
      <c r="I9" s="202">
        <f t="shared" si="0"/>
        <v>153702.36819856899</v>
      </c>
      <c r="J9" s="203">
        <f>(I9-E9)</f>
        <v>-41119.312484040041</v>
      </c>
      <c r="K9" s="204">
        <f>J9/E9</f>
        <v>-0.21106127582909515</v>
      </c>
      <c r="L9" s="203">
        <f>(H9+G9+I9)-(D9+C9+E9)</f>
        <v>-113046.40028544009</v>
      </c>
      <c r="M9" s="204">
        <f>L9/(D9+C9+E9)</f>
        <v>-0.17876447150169006</v>
      </c>
    </row>
    <row r="10" spans="1:17" ht="15" x14ac:dyDescent="0.25">
      <c r="B10" s="201" t="s">
        <v>183</v>
      </c>
      <c r="C10" s="208">
        <f t="shared" ref="C10:I10" si="1">C9/C7</f>
        <v>0.31305857906311085</v>
      </c>
      <c r="D10" s="208">
        <f t="shared" si="1"/>
        <v>0.32056801654992056</v>
      </c>
      <c r="E10" s="208">
        <f t="shared" si="1"/>
        <v>0.31996895322086566</v>
      </c>
      <c r="F10" s="208">
        <f t="shared" si="1"/>
        <v>0.27291381192537684</v>
      </c>
      <c r="G10" s="208">
        <f t="shared" si="1"/>
        <v>0.31710044616500266</v>
      </c>
      <c r="H10" s="208">
        <f t="shared" si="1"/>
        <v>0.32152798330001636</v>
      </c>
      <c r="I10" s="208">
        <f t="shared" si="1"/>
        <v>0.30957180083863395</v>
      </c>
      <c r="J10" s="208"/>
      <c r="K10" s="208"/>
      <c r="L10" s="208"/>
      <c r="M10" s="208"/>
    </row>
    <row r="12" spans="1:17" x14ac:dyDescent="0.2">
      <c r="B12" s="197" t="s">
        <v>189</v>
      </c>
      <c r="C12" s="198"/>
      <c r="D12" s="198"/>
      <c r="E12" s="198"/>
      <c r="F12" s="198"/>
      <c r="G12" s="198"/>
      <c r="H12" s="198"/>
      <c r="I12" s="198"/>
    </row>
    <row r="13" spans="1:17" x14ac:dyDescent="0.2">
      <c r="B13" s="79"/>
      <c r="C13" s="91"/>
      <c r="D13" s="91"/>
      <c r="E13" s="91"/>
      <c r="F13" s="91"/>
      <c r="G13" s="91"/>
      <c r="H13" s="28"/>
      <c r="I13" s="28"/>
    </row>
    <row r="14" spans="1:17" x14ac:dyDescent="0.2">
      <c r="B14" s="79" t="s">
        <v>191</v>
      </c>
      <c r="C14" s="91">
        <v>6203827</v>
      </c>
      <c r="D14" s="91">
        <v>7200104</v>
      </c>
      <c r="E14" s="91">
        <v>6300214</v>
      </c>
      <c r="F14" s="91">
        <v>6052494</v>
      </c>
      <c r="G14" s="91">
        <v>5339769</v>
      </c>
      <c r="H14" s="28">
        <v>5930134</v>
      </c>
      <c r="I14" s="28">
        <v>5123776</v>
      </c>
    </row>
    <row r="15" spans="1:17" ht="13.5" thickBot="1" x14ac:dyDescent="0.25">
      <c r="B15" s="92" t="s">
        <v>304</v>
      </c>
      <c r="C15" s="93">
        <f t="shared" ref="C15:I15" si="2">SUM(C13:C14)</f>
        <v>6203827</v>
      </c>
      <c r="D15" s="93">
        <f t="shared" si="2"/>
        <v>7200104</v>
      </c>
      <c r="E15" s="93">
        <f t="shared" si="2"/>
        <v>6300214</v>
      </c>
      <c r="F15" s="93">
        <f t="shared" si="2"/>
        <v>6052494</v>
      </c>
      <c r="G15" s="93">
        <f t="shared" si="2"/>
        <v>5339769</v>
      </c>
      <c r="H15" s="93">
        <f t="shared" si="2"/>
        <v>5930134</v>
      </c>
      <c r="I15" s="93">
        <f t="shared" si="2"/>
        <v>5123776</v>
      </c>
    </row>
    <row r="16" spans="1:17" ht="13.5" thickTop="1" x14ac:dyDescent="0.2"/>
    <row r="17" spans="2:11" x14ac:dyDescent="0.2">
      <c r="B17" s="197" t="s">
        <v>193</v>
      </c>
      <c r="C17" s="198"/>
      <c r="D17" s="198"/>
      <c r="E17" s="198"/>
      <c r="F17" s="198"/>
      <c r="G17" s="198"/>
      <c r="H17" s="198"/>
      <c r="I17" s="198"/>
    </row>
    <row r="18" spans="2:11" x14ac:dyDescent="0.2">
      <c r="B18" s="79" t="s">
        <v>302</v>
      </c>
      <c r="C18" s="140">
        <f t="shared" ref="C18:I18" si="3">C7*1000/C15</f>
        <v>104.21381573969842</v>
      </c>
      <c r="D18" s="140">
        <f t="shared" si="3"/>
        <v>101.88126650600769</v>
      </c>
      <c r="E18" s="140">
        <f t="shared" si="3"/>
        <v>96.643832429218108</v>
      </c>
      <c r="F18" s="140">
        <f t="shared" si="3"/>
        <v>110.92836551815633</v>
      </c>
      <c r="G18" s="140">
        <f t="shared" si="3"/>
        <v>104.45122130957408</v>
      </c>
      <c r="H18" s="140">
        <f t="shared" si="3"/>
        <v>99.001278215519093</v>
      </c>
      <c r="I18" s="140">
        <f t="shared" si="3"/>
        <v>96.901172129142054</v>
      </c>
      <c r="K18" s="140"/>
    </row>
    <row r="19" spans="2:11" x14ac:dyDescent="0.2">
      <c r="B19" s="79" t="s">
        <v>303</v>
      </c>
      <c r="C19" s="140">
        <f t="shared" ref="C19:I19" si="4">C8*1000/C15</f>
        <v>71.588786665483582</v>
      </c>
      <c r="D19" s="140">
        <f t="shared" si="4"/>
        <v>69.221390978582946</v>
      </c>
      <c r="E19" s="140">
        <f t="shared" si="4"/>
        <v>65.720806531588451</v>
      </c>
      <c r="F19" s="140">
        <f t="shared" si="4"/>
        <v>80.65448243394475</v>
      </c>
      <c r="G19" s="140">
        <f t="shared" si="4"/>
        <v>71.329692429828697</v>
      </c>
      <c r="H19" s="140">
        <f t="shared" si="4"/>
        <v>67.169596886759393</v>
      </c>
      <c r="I19" s="140">
        <f t="shared" si="4"/>
        <v>66.903301769749106</v>
      </c>
      <c r="K19" s="140"/>
    </row>
    <row r="20" spans="2:11" x14ac:dyDescent="0.2">
      <c r="B20" s="79" t="s">
        <v>307</v>
      </c>
      <c r="C20" s="140">
        <f t="shared" ref="C20:I20" si="5">C9*1000/C15</f>
        <v>32.625029074214844</v>
      </c>
      <c r="D20" s="140">
        <f t="shared" si="5"/>
        <v>32.659875527424745</v>
      </c>
      <c r="E20" s="140">
        <f t="shared" si="5"/>
        <v>30.923025897629671</v>
      </c>
      <c r="F20" s="140">
        <f t="shared" si="5"/>
        <v>30.273883084211565</v>
      </c>
      <c r="G20" s="140">
        <f t="shared" si="5"/>
        <v>33.12152887974537</v>
      </c>
      <c r="H20" s="140">
        <f t="shared" si="5"/>
        <v>31.831681328759693</v>
      </c>
      <c r="I20" s="140">
        <f t="shared" si="5"/>
        <v>29.997870359392955</v>
      </c>
    </row>
    <row r="24" spans="2:11" x14ac:dyDescent="0.2">
      <c r="E24" s="94"/>
      <c r="F24" s="94"/>
      <c r="G24" s="94"/>
      <c r="H24" s="94"/>
      <c r="I24" s="94"/>
      <c r="J24" s="94"/>
    </row>
    <row r="25" spans="2:11" x14ac:dyDescent="0.2">
      <c r="J25" s="94"/>
    </row>
    <row r="26" spans="2:11" x14ac:dyDescent="0.2">
      <c r="E26" s="94"/>
      <c r="F26" s="94"/>
      <c r="G26" s="94"/>
      <c r="H26" s="94"/>
      <c r="I26" s="94"/>
      <c r="J26" s="94"/>
    </row>
    <row r="27" spans="2:11" x14ac:dyDescent="0.2">
      <c r="E27" s="94"/>
      <c r="I27" s="94"/>
      <c r="J27" s="94"/>
    </row>
  </sheetData>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95CB5-EFF0-4B5A-BFD5-0FFBD0D9E94D}">
  <sheetPr>
    <tabColor theme="7" tint="0.39997558519241921"/>
  </sheetPr>
  <dimension ref="A1:Q26"/>
  <sheetViews>
    <sheetView showGridLines="0" workbookViewId="0">
      <pane xSplit="2" ySplit="5" topLeftCell="C6" activePane="bottomRight" state="frozen"/>
      <selection pane="topRight" activeCell="P28" sqref="P28"/>
      <selection pane="bottomLeft" activeCell="P28" sqref="P28"/>
      <selection pane="bottomRight" activeCell="K17" sqref="K17"/>
    </sheetView>
  </sheetViews>
  <sheetFormatPr defaultRowHeight="12.75" x14ac:dyDescent="0.2"/>
  <cols>
    <col min="1" max="1" width="6.28515625" style="20" customWidth="1"/>
    <col min="2" max="2" width="35.85546875" style="20" customWidth="1"/>
    <col min="3" max="3" width="14.7109375" style="20" customWidth="1"/>
    <col min="4" max="4" width="14.140625" style="20" customWidth="1"/>
    <col min="5" max="5" width="14" style="20" customWidth="1"/>
    <col min="6" max="6" width="14.140625" style="20" customWidth="1"/>
    <col min="7" max="7" width="13.85546875" style="20" customWidth="1"/>
    <col min="8" max="9" width="12.7109375" style="20" bestFit="1" customWidth="1"/>
    <col min="10" max="10" width="13.140625" style="20" customWidth="1"/>
    <col min="11" max="11" width="9.140625" style="20"/>
    <col min="12" max="12" width="21.5703125" style="20" customWidth="1"/>
    <col min="13" max="16384" width="9.140625" style="20"/>
  </cols>
  <sheetData>
    <row r="1" spans="1:17" x14ac:dyDescent="0.2">
      <c r="A1" s="180">
        <f>'2022 IR Data Book'!$A$5</f>
        <v>1</v>
      </c>
    </row>
    <row r="2" spans="1:17" x14ac:dyDescent="0.2">
      <c r="A2" s="180"/>
    </row>
    <row r="3" spans="1:17" ht="15" x14ac:dyDescent="0.25">
      <c r="B3" s="71"/>
      <c r="Q3" s="72"/>
    </row>
    <row r="4" spans="1:17" ht="14.25" customHeight="1" x14ac:dyDescent="0.2">
      <c r="B4" s="73" t="s">
        <v>21</v>
      </c>
      <c r="C4" s="73"/>
      <c r="D4" s="74"/>
      <c r="E4" s="73"/>
      <c r="F4" s="73"/>
      <c r="G4" s="73"/>
      <c r="H4" s="74"/>
      <c r="I4" s="74"/>
      <c r="J4" s="193" t="s">
        <v>22</v>
      </c>
      <c r="K4" s="193"/>
      <c r="L4" s="193" t="s">
        <v>22</v>
      </c>
      <c r="M4" s="193"/>
    </row>
    <row r="5" spans="1:17" x14ac:dyDescent="0.2">
      <c r="B5" s="75"/>
      <c r="C5" s="220" t="s">
        <v>23</v>
      </c>
      <c r="D5" s="220" t="s">
        <v>24</v>
      </c>
      <c r="E5" s="220" t="s">
        <v>25</v>
      </c>
      <c r="F5" s="220" t="s">
        <v>26</v>
      </c>
      <c r="G5" s="220" t="s">
        <v>28</v>
      </c>
      <c r="H5" s="220" t="s">
        <v>29</v>
      </c>
      <c r="I5" s="220" t="s">
        <v>283</v>
      </c>
      <c r="J5" s="76" t="s">
        <v>284</v>
      </c>
      <c r="K5" s="76" t="s">
        <v>30</v>
      </c>
      <c r="L5" s="76" t="s">
        <v>291</v>
      </c>
      <c r="M5" s="76" t="s">
        <v>30</v>
      </c>
    </row>
    <row r="6" spans="1:17" x14ac:dyDescent="0.2">
      <c r="B6" s="77"/>
      <c r="C6" s="77"/>
      <c r="D6" s="78"/>
      <c r="E6" s="77"/>
      <c r="F6" s="77"/>
      <c r="G6" s="77"/>
      <c r="H6" s="78"/>
      <c r="I6" s="78"/>
      <c r="J6" s="78"/>
      <c r="K6" s="78"/>
    </row>
    <row r="7" spans="1:17" ht="15" x14ac:dyDescent="0.25">
      <c r="B7" s="199" t="s">
        <v>178</v>
      </c>
      <c r="C7" s="202">
        <f>355617.86422929*('2022 IR Data Book'!$A$5)</f>
        <v>355617.86422928999</v>
      </c>
      <c r="D7" s="202">
        <f>367225.963071906*('2022 IR Data Book'!$A$5)</f>
        <v>367225.96307190601</v>
      </c>
      <c r="E7" s="202">
        <f>460774.931293178*('2022 IR Data Book'!$A$5)</f>
        <v>460774.931293178</v>
      </c>
      <c r="F7" s="202">
        <f>372250.782720421*('2022 IR Data Book'!$A$5)</f>
        <v>372250.78272042098</v>
      </c>
      <c r="G7" s="202">
        <f>353346.525114052*('2022 IR Data Book'!$A$5)</f>
        <v>353346.525114052</v>
      </c>
      <c r="H7" s="202">
        <f>349072.255705446*('2022 IR Data Book'!$A$5)</f>
        <v>349072.255705446</v>
      </c>
      <c r="I7" s="202">
        <f>416535.445403061*('2022 IR Data Book'!$A$5)</f>
        <v>416535.44540306099</v>
      </c>
      <c r="J7" s="203">
        <f>(I7-E7)</f>
        <v>-44239.485890117008</v>
      </c>
      <c r="K7" s="204">
        <f>J7/E7</f>
        <v>-9.6011052003106223E-2</v>
      </c>
      <c r="L7" s="203">
        <f>(H7+G7+I7)-(D7+C7+E7)</f>
        <v>-64664.532371815294</v>
      </c>
      <c r="M7" s="204">
        <f>L7/(D7+C7+E7)</f>
        <v>-5.4632905994670716E-2</v>
      </c>
    </row>
    <row r="8" spans="1:17" ht="15" x14ac:dyDescent="0.25">
      <c r="B8" s="200" t="s">
        <v>181</v>
      </c>
      <c r="C8" s="205">
        <f>272903.55434018*('2022 IR Data Book'!$A$5)</f>
        <v>272903.55434018001</v>
      </c>
      <c r="D8" s="205">
        <f>277079.111766491*('2022 IR Data Book'!$A$5)</f>
        <v>277079.11176649103</v>
      </c>
      <c r="E8" s="205">
        <f>333461.818852503*('2022 IR Data Book'!$A$5)</f>
        <v>333461.81885250303</v>
      </c>
      <c r="F8" s="205">
        <f>298184.485808865*('2022 IR Data Book'!$A$5)</f>
        <v>298184.48580886499</v>
      </c>
      <c r="G8" s="205">
        <f>273000.830886849*('2022 IR Data Book'!$A$5)</f>
        <v>273000.83088684903</v>
      </c>
      <c r="H8" s="205">
        <f>270788.598955927*('2022 IR Data Book'!$A$5)</f>
        <v>270788.59895592701</v>
      </c>
      <c r="I8" s="205">
        <f>300465.045166131*('2022 IR Data Book'!$A$5)</f>
        <v>300465.04516613099</v>
      </c>
      <c r="J8" s="206">
        <f>(I8-E8)</f>
        <v>-32996.773686372035</v>
      </c>
      <c r="K8" s="207">
        <f>J8/E8</f>
        <v>-9.8952179292727913E-2</v>
      </c>
      <c r="L8" s="206">
        <f>(H8+G8+I8)-(D8+C8+E8)</f>
        <v>-39190.009950267151</v>
      </c>
      <c r="M8" s="207">
        <f>L8/(D8+C8+E8)</f>
        <v>-4.4360467032717066E-2</v>
      </c>
    </row>
    <row r="9" spans="1:17" ht="15" x14ac:dyDescent="0.25">
      <c r="B9" s="199" t="s">
        <v>182</v>
      </c>
      <c r="C9" s="202">
        <f t="shared" ref="C9:I9" si="0">C7-C8</f>
        <v>82714.30988910998</v>
      </c>
      <c r="D9" s="202">
        <f t="shared" si="0"/>
        <v>90146.851305414981</v>
      </c>
      <c r="E9" s="202">
        <f t="shared" si="0"/>
        <v>127313.11244067497</v>
      </c>
      <c r="F9" s="202">
        <f t="shared" si="0"/>
        <v>74066.296911555983</v>
      </c>
      <c r="G9" s="202">
        <f t="shared" si="0"/>
        <v>80345.69422720297</v>
      </c>
      <c r="H9" s="202">
        <f t="shared" si="0"/>
        <v>78283.656749518996</v>
      </c>
      <c r="I9" s="202">
        <f t="shared" si="0"/>
        <v>116070.40023693</v>
      </c>
      <c r="J9" s="203">
        <f>(I9-E9)</f>
        <v>-11242.712203744974</v>
      </c>
      <c r="K9" s="204">
        <f>J9/E9</f>
        <v>-8.8307574830391672E-2</v>
      </c>
      <c r="L9" s="203">
        <f>(H9+G9+I9)-(D9+C9+E9)</f>
        <v>-25474.522421547968</v>
      </c>
      <c r="M9" s="204">
        <f>L9/(D9+C9+E9)</f>
        <v>-8.4865775181343514E-2</v>
      </c>
    </row>
    <row r="10" spans="1:17" ht="15" x14ac:dyDescent="0.25">
      <c r="B10" s="201" t="s">
        <v>183</v>
      </c>
      <c r="C10" s="208">
        <f t="shared" ref="C10:I10" si="1">C9/C7</f>
        <v>0.23259323619293398</v>
      </c>
      <c r="D10" s="208">
        <f t="shared" si="1"/>
        <v>0.24548060423430207</v>
      </c>
      <c r="E10" s="208">
        <f t="shared" si="1"/>
        <v>0.27630216792256274</v>
      </c>
      <c r="F10" s="208">
        <f t="shared" si="1"/>
        <v>0.1989688144381512</v>
      </c>
      <c r="G10" s="208">
        <f t="shared" si="1"/>
        <v>0.22738498475758112</v>
      </c>
      <c r="H10" s="208">
        <f t="shared" si="1"/>
        <v>0.22426204165471195</v>
      </c>
      <c r="I10" s="208">
        <f t="shared" si="1"/>
        <v>0.27865671821665583</v>
      </c>
      <c r="J10" s="208"/>
      <c r="K10" s="208"/>
      <c r="L10" s="208"/>
      <c r="M10" s="208"/>
    </row>
    <row r="12" spans="1:17" x14ac:dyDescent="0.2">
      <c r="B12" s="197" t="s">
        <v>189</v>
      </c>
      <c r="C12" s="198"/>
      <c r="D12" s="198"/>
      <c r="E12" s="198"/>
      <c r="F12" s="198"/>
      <c r="G12" s="198"/>
      <c r="H12" s="198"/>
      <c r="I12" s="198"/>
    </row>
    <row r="13" spans="1:17" x14ac:dyDescent="0.2">
      <c r="B13" s="79"/>
      <c r="C13" s="91"/>
      <c r="D13" s="91"/>
      <c r="E13" s="91"/>
      <c r="F13" s="91"/>
      <c r="G13" s="91"/>
      <c r="H13" s="28"/>
      <c r="I13" s="28"/>
    </row>
    <row r="14" spans="1:17" x14ac:dyDescent="0.2">
      <c r="B14" s="79" t="s">
        <v>190</v>
      </c>
      <c r="C14" s="91">
        <v>25388838</v>
      </c>
      <c r="D14" s="91">
        <v>25800486</v>
      </c>
      <c r="E14" s="91">
        <v>27600108</v>
      </c>
      <c r="F14" s="91">
        <v>29436845</v>
      </c>
      <c r="G14" s="91">
        <v>25008344</v>
      </c>
      <c r="H14" s="28">
        <v>24101160</v>
      </c>
      <c r="I14" s="28">
        <v>24481680</v>
      </c>
    </row>
    <row r="15" spans="1:17" ht="13.5" thickBot="1" x14ac:dyDescent="0.25">
      <c r="B15" s="92" t="s">
        <v>304</v>
      </c>
      <c r="C15" s="93">
        <f t="shared" ref="C15:I15" si="2">SUM(C13:C14)</f>
        <v>25388838</v>
      </c>
      <c r="D15" s="93">
        <f t="shared" si="2"/>
        <v>25800486</v>
      </c>
      <c r="E15" s="93">
        <f t="shared" si="2"/>
        <v>27600108</v>
      </c>
      <c r="F15" s="93">
        <f t="shared" si="2"/>
        <v>29436845</v>
      </c>
      <c r="G15" s="93">
        <f t="shared" si="2"/>
        <v>25008344</v>
      </c>
      <c r="H15" s="93">
        <f t="shared" si="2"/>
        <v>24101160</v>
      </c>
      <c r="I15" s="93">
        <f t="shared" si="2"/>
        <v>24481680</v>
      </c>
    </row>
    <row r="16" spans="1:17" ht="13.5" thickTop="1" x14ac:dyDescent="0.2"/>
    <row r="17" spans="2:11" x14ac:dyDescent="0.2">
      <c r="B17" s="197" t="s">
        <v>193</v>
      </c>
      <c r="C17" s="198"/>
      <c r="D17" s="198"/>
      <c r="E17" s="198"/>
      <c r="F17" s="198"/>
      <c r="G17" s="198"/>
      <c r="H17" s="198"/>
      <c r="I17" s="198"/>
    </row>
    <row r="18" spans="2:11" x14ac:dyDescent="0.2">
      <c r="B18" s="79" t="s">
        <v>302</v>
      </c>
      <c r="C18" s="90">
        <f t="shared" ref="C18:I18" si="3">(C7*1000)/C14</f>
        <v>14.006858613587987</v>
      </c>
      <c r="D18" s="90">
        <f t="shared" si="3"/>
        <v>14.233296344569093</v>
      </c>
      <c r="E18" s="90">
        <f t="shared" si="3"/>
        <v>16.694678560430923</v>
      </c>
      <c r="F18" s="90">
        <f t="shared" si="3"/>
        <v>12.64574320788865</v>
      </c>
      <c r="G18" s="90">
        <f t="shared" si="3"/>
        <v>14.129145261039755</v>
      </c>
      <c r="H18" s="90">
        <f t="shared" si="3"/>
        <v>14.483628825560512</v>
      </c>
      <c r="I18" s="90">
        <f t="shared" si="3"/>
        <v>17.014169182958888</v>
      </c>
      <c r="K18" s="140"/>
    </row>
    <row r="19" spans="2:11" x14ac:dyDescent="0.2">
      <c r="B19" s="79" t="s">
        <v>303</v>
      </c>
      <c r="C19" s="140">
        <f t="shared" ref="C19:I19" si="4">C8*1000/C15</f>
        <v>10.748958039756685</v>
      </c>
      <c r="D19" s="140">
        <f t="shared" si="4"/>
        <v>10.739298157658389</v>
      </c>
      <c r="E19" s="140">
        <f t="shared" si="4"/>
        <v>12.08190268141353</v>
      </c>
      <c r="F19" s="140">
        <f t="shared" si="4"/>
        <v>10.129634674125743</v>
      </c>
      <c r="G19" s="140">
        <f t="shared" si="4"/>
        <v>10.916389781220582</v>
      </c>
      <c r="H19" s="140">
        <f t="shared" si="4"/>
        <v>11.235500654571274</v>
      </c>
      <c r="I19" s="140">
        <f t="shared" si="4"/>
        <v>12.273056635252606</v>
      </c>
      <c r="K19" s="140"/>
    </row>
    <row r="20" spans="2:11" x14ac:dyDescent="0.2">
      <c r="B20" s="79" t="s">
        <v>307</v>
      </c>
      <c r="C20" s="140">
        <f t="shared" ref="C20:I20" si="5">C9*1000/C15</f>
        <v>3.2579005738313027</v>
      </c>
      <c r="D20" s="140">
        <f t="shared" si="5"/>
        <v>3.4939981869107029</v>
      </c>
      <c r="E20" s="140">
        <f t="shared" si="5"/>
        <v>4.6127758790173932</v>
      </c>
      <c r="F20" s="140">
        <f t="shared" si="5"/>
        <v>2.5161085337629077</v>
      </c>
      <c r="G20" s="140">
        <f t="shared" si="5"/>
        <v>3.2127554798191742</v>
      </c>
      <c r="H20" s="140">
        <f t="shared" si="5"/>
        <v>3.2481281709892382</v>
      </c>
      <c r="I20" s="140">
        <f t="shared" si="5"/>
        <v>4.741112547706285</v>
      </c>
    </row>
    <row r="21" spans="2:11" x14ac:dyDescent="0.2">
      <c r="B21" s="59"/>
    </row>
    <row r="24" spans="2:11" x14ac:dyDescent="0.2">
      <c r="E24" s="94"/>
      <c r="F24" s="94"/>
      <c r="G24" s="94"/>
      <c r="H24" s="94"/>
      <c r="I24" s="94"/>
    </row>
    <row r="25" spans="2:11" x14ac:dyDescent="0.2">
      <c r="E25" s="157"/>
    </row>
    <row r="26" spans="2:11" ht="15" x14ac:dyDescent="0.25">
      <c r="B26" s="234"/>
      <c r="I26" s="94"/>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DE4D08617C3D4C91047A59C3ABC5F2" ma:contentTypeVersion="14" ma:contentTypeDescription="Create a new document." ma:contentTypeScope="" ma:versionID="3b934642dc8ec03c7daf5133fa03a520">
  <xsd:schema xmlns:xsd="http://www.w3.org/2001/XMLSchema" xmlns:xs="http://www.w3.org/2001/XMLSchema" xmlns:p="http://schemas.microsoft.com/office/2006/metadata/properties" xmlns:ns3="0ba0890a-ecb8-49f1-855e-332f51d41d52" xmlns:ns4="124cd9c5-0913-41b7-b5bf-a64f2bbe87aa" targetNamespace="http://schemas.microsoft.com/office/2006/metadata/properties" ma:root="true" ma:fieldsID="eed04f32355ccf59b576b4af93941138" ns3:_="" ns4:_="">
    <xsd:import namespace="0ba0890a-ecb8-49f1-855e-332f51d41d52"/>
    <xsd:import namespace="124cd9c5-0913-41b7-b5bf-a64f2bbe87a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a0890a-ecb8-49f1-855e-332f51d41d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4cd9c5-0913-41b7-b5bf-a64f2bbe87a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1A7F09-B4AD-4855-A443-2C7C3A4645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a0890a-ecb8-49f1-855e-332f51d41d52"/>
    <ds:schemaRef ds:uri="124cd9c5-0913-41b7-b5bf-a64f2bbe8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331388-BAE5-410E-8154-30D3AA16694F}">
  <ds:schemaRefs>
    <ds:schemaRef ds:uri="http://schemas.microsoft.com/sharepoint/v3/contenttype/forms"/>
  </ds:schemaRefs>
</ds:datastoreItem>
</file>

<file path=customXml/itemProps3.xml><?xml version="1.0" encoding="utf-8"?>
<ds:datastoreItem xmlns:ds="http://schemas.openxmlformats.org/officeDocument/2006/customXml" ds:itemID="{C95BA8FC-D23C-4F93-A85B-8CB4C25C10C8}">
  <ds:schemaRefs>
    <ds:schemaRef ds:uri="http://purl.org/dc/dcmitype/"/>
    <ds:schemaRef ds:uri="http://schemas.microsoft.com/office/2006/metadata/properties"/>
    <ds:schemaRef ds:uri="0ba0890a-ecb8-49f1-855e-332f51d41d52"/>
    <ds:schemaRef ds:uri="124cd9c5-0913-41b7-b5bf-a64f2bbe87a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2022 IR Data Book</vt:lpstr>
      <vt:lpstr>Contents</vt:lpstr>
      <vt:lpstr>Group Profit &amp; Loss Stm</vt:lpstr>
      <vt:lpstr>Group Balance Sheet</vt:lpstr>
      <vt:lpstr>Group CF and CAPEX</vt:lpstr>
      <vt:lpstr>Key figures and ratios</vt:lpstr>
      <vt:lpstr>Aramex Courier</vt:lpstr>
      <vt:lpstr>Aramex Express+SNS</vt:lpstr>
      <vt:lpstr>Aramex Domestic</vt:lpstr>
      <vt:lpstr>Aramex Freight</vt:lpstr>
      <vt:lpstr>Aramex Logistics</vt:lpstr>
      <vt:lpstr>Regional Breakdown</vt:lpstr>
      <vt:lpstr>GP Recflassification</vt:lpstr>
      <vt:lpstr>Historic_Product_Breakdown</vt:lpstr>
      <vt:lpstr>Historic Express Rev_Vol_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Usman Syed</dc:creator>
  <cp:keywords/>
  <dc:description/>
  <cp:lastModifiedBy>Anca Cighi</cp:lastModifiedBy>
  <cp:revision/>
  <dcterms:created xsi:type="dcterms:W3CDTF">2021-07-29T06:01:51Z</dcterms:created>
  <dcterms:modified xsi:type="dcterms:W3CDTF">2022-11-10T05:25:27Z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0x0101004FDE4D08617C3D4C91047A59C3ABC5F2</vt:lpwstr>
  </property>
  <property fmtid="{D5CDD505-2E9C-101B-9397-08002B2CF9AE}" pid="3" name="MSIP_Label_5c15bd85-9f84-4ab9-b6e1-ccb9127e3d2a_Enabled">
    <vt:lpwstr>true</vt:lpwstr>
  </property>
  <property fmtid="{D5CDD505-2E9C-101B-9397-08002B2CF9AE}" pid="4" name="MSIP_Label_5c15bd85-9f84-4ab9-b6e1-ccb9127e3d2a_SetDate">
    <vt:lpwstr>2022-01-14T10:55:21Z</vt:lpwstr>
  </property>
  <property fmtid="{D5CDD505-2E9C-101B-9397-08002B2CF9AE}" pid="5" name="MSIP_Label_5c15bd85-9f84-4ab9-b6e1-ccb9127e3d2a_Method">
    <vt:lpwstr>Privileged</vt:lpwstr>
  </property>
  <property fmtid="{D5CDD505-2E9C-101B-9397-08002B2CF9AE}" pid="6" name="MSIP_Label_5c15bd85-9f84-4ab9-b6e1-ccb9127e3d2a_Name">
    <vt:lpwstr>Internal Classification</vt:lpwstr>
  </property>
  <property fmtid="{D5CDD505-2E9C-101B-9397-08002B2CF9AE}" pid="7" name="MSIP_Label_5c15bd85-9f84-4ab9-b6e1-ccb9127e3d2a_SiteId">
    <vt:lpwstr>43aa4ce1-f125-4390-a30c-5375aae87717</vt:lpwstr>
  </property>
  <property fmtid="{D5CDD505-2E9C-101B-9397-08002B2CF9AE}" pid="8" name="MSIP_Label_5c15bd85-9f84-4ab9-b6e1-ccb9127e3d2a_ActionId">
    <vt:lpwstr>d254e9e8-ade7-4e39-9d22-6a4a2f08937a</vt:lpwstr>
  </property>
  <property fmtid="{D5CDD505-2E9C-101B-9397-08002B2CF9AE}" pid="9" name="MSIP_Label_5c15bd85-9f84-4ab9-b6e1-ccb9127e3d2a_ContentBits">
    <vt:lpwstr>0</vt:lpwstr>
  </property>
</Properties>
</file>