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https://aramex-my.sharepoint.com/personal/anca_aramex_com/Documents/Desktop/Quarterly results/Q4 2022/IR Data Book/"/>
    </mc:Choice>
  </mc:AlternateContent>
  <xr:revisionPtr revIDLastSave="9" documentId="8_{3BB2C436-CF43-432D-8F2C-742486F14FFA}" xr6:coauthVersionLast="36" xr6:coauthVersionMax="47" xr10:uidLastSave="{C7E24329-AF1F-4C6E-8183-B402F4638243}"/>
  <bookViews>
    <workbookView xWindow="-120" yWindow="-120" windowWidth="29040" windowHeight="15840" tabRatio="914" xr2:uid="{57DDC26A-0058-42D3-AF50-F9A5729AB588}"/>
  </bookViews>
  <sheets>
    <sheet name="2022 IR Data Book" sheetId="5" r:id="rId1"/>
    <sheet name="Contents" sheetId="20" r:id="rId2"/>
    <sheet name="Group Profit &amp; Loss Stm" sheetId="11" r:id="rId3"/>
    <sheet name="Group Balance Sheet" sheetId="10" r:id="rId4"/>
    <sheet name="Group CF and CAPEX" sheetId="12" r:id="rId5"/>
    <sheet name="Aramex Courier" sheetId="13" r:id="rId6"/>
    <sheet name="Aramex Express+SNS" sheetId="24" r:id="rId7"/>
    <sheet name="Aramex Domestic" sheetId="25" r:id="rId8"/>
    <sheet name="Aramex Freight" sheetId="14" r:id="rId9"/>
    <sheet name="Aramex Logistics" sheetId="15" r:id="rId10"/>
    <sheet name="Regional Breakdown" sheetId="9" r:id="rId11"/>
    <sheet name="GP Recflassification" sheetId="8" r:id="rId12"/>
    <sheet name="Historic_Product_Breakdown" sheetId="7" r:id="rId13"/>
    <sheet name="Historic Express Rev_Vol_ Data" sheetId="6" r:id="rId14"/>
    <sheet name="Key figures and ratios" sheetId="22" r:id="rId15"/>
    <sheet name="Normalised" sheetId="26" r:id="rId16"/>
  </sheets>
  <externalReferences>
    <externalReference r:id="rId17"/>
    <externalReference r:id="rId18"/>
    <externalReference r:id="rId19"/>
    <externalReference r:id="rId20"/>
    <externalReference r:id="rId21"/>
    <externalReference r:id="rId22"/>
    <externalReference r:id="rId23"/>
  </externalReferences>
  <definedNames>
    <definedName name="bd" localSheetId="7">'[1]SCHEDULE 3'!#REF!</definedName>
    <definedName name="bd" localSheetId="6">'[1]SCHEDULE 3'!#REF!</definedName>
    <definedName name="bd">'[1]SCHEDULE 3'!#REF!</definedName>
    <definedName name="code">[2]Index!$C$30</definedName>
    <definedName name="Currency" localSheetId="7">'[3]Act''21 vs Act''20-Month'!#REF!</definedName>
    <definedName name="Currency" localSheetId="6">'[3]Act''21 vs Act''20-Month'!#REF!</definedName>
    <definedName name="Currency" localSheetId="13">'[3]Act''21 vs Act''20-Month'!#REF!</definedName>
    <definedName name="Currency" localSheetId="14">'[3]Act''21 vs Act''20-Month'!#REF!</definedName>
    <definedName name="Currency" localSheetId="15">'[3]Act''21 vs Act''20-Month'!#REF!</definedName>
    <definedName name="Currency">'[3]Act''21 vs Act''20-Month'!#REF!</definedName>
    <definedName name="Currency1">'[4]Act''22 vs Act''21-Month'!#REF!</definedName>
    <definedName name="entity">[2]Index!$B$33</definedName>
    <definedName name="index">[2]Index!$B$36</definedName>
    <definedName name="MM">[5]XRates!$B$2</definedName>
    <definedName name="USD">[6]XRates!$B$1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4" l="1"/>
  <c r="L22" i="14"/>
  <c r="L21" i="14"/>
  <c r="L20" i="14"/>
  <c r="L19" i="14"/>
  <c r="G23" i="14"/>
  <c r="G22" i="14"/>
  <c r="G21" i="14"/>
  <c r="G20" i="14"/>
  <c r="G19" i="14"/>
  <c r="L15" i="25" l="1"/>
  <c r="L16" i="25" s="1"/>
  <c r="G15" i="25"/>
  <c r="G16" i="25" s="1"/>
  <c r="G21" i="13"/>
  <c r="G20" i="13"/>
  <c r="G19" i="13"/>
  <c r="G15" i="24"/>
  <c r="G16" i="24" s="1"/>
  <c r="H13" i="22" l="1"/>
  <c r="H12" i="22"/>
  <c r="H11" i="22"/>
  <c r="C210" i="9" l="1"/>
  <c r="C213" i="9" s="1"/>
  <c r="K16" i="25" l="1"/>
  <c r="K16" i="24"/>
  <c r="K21" i="13" l="1"/>
  <c r="X14" i="13" l="1"/>
  <c r="Y14" i="13"/>
  <c r="Z14" i="13"/>
  <c r="AA14" i="13"/>
  <c r="X16" i="13"/>
  <c r="Y16" i="13"/>
  <c r="Z16" i="13"/>
  <c r="AA16" i="13"/>
  <c r="Q9" i="13" l="1"/>
  <c r="R9" i="13"/>
  <c r="S9" i="13"/>
  <c r="T9" i="13"/>
  <c r="U9" i="13"/>
  <c r="V9" i="13"/>
  <c r="W9" i="13"/>
  <c r="X9" i="13"/>
  <c r="Y9" i="13"/>
  <c r="Z9" i="13"/>
  <c r="AA9" i="13"/>
  <c r="X11" i="13"/>
  <c r="Y11" i="13"/>
  <c r="Z11" i="13"/>
  <c r="AA11" i="13"/>
  <c r="P168" i="9" l="1"/>
  <c r="L246" i="9" s="1"/>
  <c r="M246" i="9" s="1"/>
  <c r="P147" i="9"/>
  <c r="L245" i="9" s="1"/>
  <c r="M245" i="9" s="1"/>
  <c r="P126" i="9"/>
  <c r="L244" i="9" s="1"/>
  <c r="M244" i="9" s="1"/>
  <c r="P105" i="9"/>
  <c r="L243" i="9" s="1"/>
  <c r="M243" i="9" s="1"/>
  <c r="G168" i="9"/>
  <c r="C246" i="9" s="1"/>
  <c r="D246" i="9" s="1"/>
  <c r="G147" i="9"/>
  <c r="C245" i="9" s="1"/>
  <c r="D245" i="9" s="1"/>
  <c r="G21" i="9"/>
  <c r="C239" i="9" s="1"/>
  <c r="D239" i="9" s="1"/>
  <c r="G105" i="9"/>
  <c r="C243" i="9" s="1"/>
  <c r="D243" i="9" s="1"/>
  <c r="G126" i="9"/>
  <c r="C244" i="9" s="1"/>
  <c r="D244" i="9" s="1"/>
  <c r="J16" i="25" l="1"/>
  <c r="I16" i="25"/>
  <c r="F16" i="25"/>
  <c r="E16" i="25"/>
  <c r="D16" i="25"/>
  <c r="C16" i="25"/>
  <c r="H16" i="25"/>
  <c r="J16" i="24" l="1"/>
  <c r="I16" i="24"/>
  <c r="F16" i="24"/>
  <c r="E16" i="24"/>
  <c r="D16" i="24"/>
  <c r="C16" i="24"/>
  <c r="H15" i="24"/>
  <c r="L15" i="24" s="1"/>
  <c r="L16" i="24" s="1"/>
  <c r="H16" i="24" l="1"/>
  <c r="G13" i="22" l="1"/>
  <c r="G12" i="22"/>
  <c r="G11" i="22"/>
  <c r="F11" i="22"/>
  <c r="F12" i="22"/>
  <c r="F13" i="22"/>
  <c r="M5" i="15" l="1"/>
  <c r="M5" i="14"/>
  <c r="O5" i="15" l="1"/>
  <c r="O5" i="14"/>
  <c r="J21" i="13" l="1"/>
  <c r="N193" i="9" l="1"/>
  <c r="L193" i="9"/>
  <c r="N175" i="9"/>
  <c r="L175" i="9"/>
  <c r="N166" i="9"/>
  <c r="L166" i="9"/>
  <c r="N154" i="9"/>
  <c r="L154" i="9"/>
  <c r="N145" i="9"/>
  <c r="L145" i="9"/>
  <c r="N133" i="9"/>
  <c r="L133" i="9"/>
  <c r="N124" i="9"/>
  <c r="L124" i="9"/>
  <c r="N112" i="9"/>
  <c r="L112" i="9"/>
  <c r="N103" i="9"/>
  <c r="L103" i="9"/>
  <c r="N91" i="9"/>
  <c r="L91" i="9"/>
  <c r="N82" i="9"/>
  <c r="L82" i="9"/>
  <c r="N70" i="9"/>
  <c r="L70" i="9"/>
  <c r="N61" i="9"/>
  <c r="L61" i="9"/>
  <c r="N49" i="9"/>
  <c r="L49" i="9"/>
  <c r="N40" i="9"/>
  <c r="L40" i="9"/>
  <c r="N28" i="9"/>
  <c r="L28" i="9"/>
  <c r="N19" i="9"/>
  <c r="L19" i="9"/>
  <c r="A5" i="5" l="1"/>
  <c r="A4" i="5"/>
  <c r="A2" i="5"/>
  <c r="AB12" i="15" l="1"/>
  <c r="AB8" i="15"/>
  <c r="AB7" i="15"/>
  <c r="AA12" i="15"/>
  <c r="AA8" i="15"/>
  <c r="V12" i="15"/>
  <c r="U12" i="15"/>
  <c r="AA7" i="15"/>
  <c r="U7" i="15"/>
  <c r="AB14" i="15"/>
  <c r="V14" i="15"/>
  <c r="AA14" i="15"/>
  <c r="V8" i="15"/>
  <c r="V7" i="15"/>
  <c r="U14" i="15"/>
  <c r="U8" i="15"/>
  <c r="J51" i="10"/>
  <c r="J43" i="10"/>
  <c r="J9" i="10"/>
  <c r="J20" i="10"/>
  <c r="J19" i="10"/>
  <c r="I22" i="10"/>
  <c r="J22" i="10"/>
  <c r="E14" i="15"/>
  <c r="E12" i="15"/>
  <c r="E14" i="14"/>
  <c r="E12" i="14"/>
  <c r="J13" i="13"/>
  <c r="W13" i="13" s="1"/>
  <c r="K13" i="13"/>
  <c r="D11" i="26"/>
  <c r="D5" i="26"/>
  <c r="F8" i="26"/>
  <c r="D4" i="26"/>
  <c r="F6" i="26"/>
  <c r="C4" i="26"/>
  <c r="F5" i="26"/>
  <c r="F10" i="26"/>
  <c r="E10" i="26"/>
  <c r="C11" i="26"/>
  <c r="C5" i="26"/>
  <c r="E8" i="26"/>
  <c r="D10" i="26"/>
  <c r="C10" i="26"/>
  <c r="E6" i="26"/>
  <c r="E11" i="26"/>
  <c r="D6" i="26"/>
  <c r="C6" i="26"/>
  <c r="D8" i="26"/>
  <c r="F11" i="26"/>
  <c r="C8" i="26"/>
  <c r="E5" i="26"/>
  <c r="F4" i="26"/>
  <c r="E4" i="26"/>
  <c r="F26" i="6"/>
  <c r="H80" i="7"/>
  <c r="H47" i="7"/>
  <c r="F27" i="6"/>
  <c r="E27" i="6"/>
  <c r="H70" i="7"/>
  <c r="H58" i="7"/>
  <c r="E26" i="6"/>
  <c r="H82" i="7"/>
  <c r="L185" i="9"/>
  <c r="N157" i="9"/>
  <c r="N115" i="9"/>
  <c r="N73" i="9"/>
  <c r="L53" i="9"/>
  <c r="L16" i="9"/>
  <c r="C164" i="9"/>
  <c r="E136" i="9"/>
  <c r="C116" i="9"/>
  <c r="C80" i="9"/>
  <c r="C38" i="9"/>
  <c r="N159" i="9"/>
  <c r="L139" i="9"/>
  <c r="L114" i="9"/>
  <c r="C160" i="9"/>
  <c r="C93" i="9"/>
  <c r="C8" i="9"/>
  <c r="H94" i="7"/>
  <c r="N181" i="9"/>
  <c r="L178" i="9"/>
  <c r="N156" i="9"/>
  <c r="N139" i="9"/>
  <c r="L136" i="9"/>
  <c r="N114" i="9"/>
  <c r="N97" i="9"/>
  <c r="L94" i="9"/>
  <c r="N72" i="9"/>
  <c r="N55" i="9"/>
  <c r="L52" i="9"/>
  <c r="N30" i="9"/>
  <c r="N12" i="9"/>
  <c r="L9" i="9"/>
  <c r="E177" i="9"/>
  <c r="E160" i="9"/>
  <c r="C157" i="9"/>
  <c r="E135" i="9"/>
  <c r="E118" i="9"/>
  <c r="C115" i="9"/>
  <c r="E93" i="9"/>
  <c r="E76" i="9"/>
  <c r="C73" i="9"/>
  <c r="E51" i="9"/>
  <c r="E34" i="9"/>
  <c r="C31" i="9"/>
  <c r="E8" i="9"/>
  <c r="H91" i="7"/>
  <c r="N179" i="9"/>
  <c r="L159" i="9"/>
  <c r="N137" i="9"/>
  <c r="L117" i="9"/>
  <c r="N53" i="9"/>
  <c r="L33" i="9"/>
  <c r="N10" i="9"/>
  <c r="E158" i="9"/>
  <c r="E143" i="9"/>
  <c r="C96" i="9"/>
  <c r="E59" i="9"/>
  <c r="E16" i="9"/>
  <c r="L31" i="9"/>
  <c r="C136" i="9"/>
  <c r="C94" i="9"/>
  <c r="E30" i="9"/>
  <c r="H49" i="7"/>
  <c r="E180" i="9"/>
  <c r="C51" i="9"/>
  <c r="H92" i="7"/>
  <c r="N180" i="9"/>
  <c r="L177" i="9"/>
  <c r="L160" i="9"/>
  <c r="N138" i="9"/>
  <c r="L135" i="9"/>
  <c r="L118" i="9"/>
  <c r="N96" i="9"/>
  <c r="L93" i="9"/>
  <c r="L76" i="9"/>
  <c r="N54" i="9"/>
  <c r="L51" i="9"/>
  <c r="L34" i="9"/>
  <c r="N11" i="9"/>
  <c r="L8" i="9"/>
  <c r="C181" i="9"/>
  <c r="E159" i="9"/>
  <c r="C156" i="9"/>
  <c r="C139" i="9"/>
  <c r="E117" i="9"/>
  <c r="C114" i="9"/>
  <c r="C97" i="9"/>
  <c r="E75" i="9"/>
  <c r="C72" i="9"/>
  <c r="C55" i="9"/>
  <c r="E33" i="9"/>
  <c r="C30" i="9"/>
  <c r="C12" i="9"/>
  <c r="N164" i="9"/>
  <c r="N122" i="9"/>
  <c r="N95" i="9"/>
  <c r="L75" i="9"/>
  <c r="N38" i="9"/>
  <c r="C180" i="9"/>
  <c r="C138" i="9"/>
  <c r="E101" i="9"/>
  <c r="C54" i="9"/>
  <c r="C11" i="9"/>
  <c r="N34" i="9"/>
  <c r="E156" i="9"/>
  <c r="E97" i="9"/>
  <c r="E55" i="9"/>
  <c r="C9" i="9"/>
  <c r="N117" i="9"/>
  <c r="L55" i="9"/>
  <c r="C177" i="9"/>
  <c r="C118" i="9"/>
  <c r="C76" i="9"/>
  <c r="H45" i="7"/>
  <c r="N80" i="9"/>
  <c r="E185" i="9"/>
  <c r="E116" i="9"/>
  <c r="E74" i="9"/>
  <c r="E32" i="9"/>
  <c r="N8" i="9"/>
  <c r="E139" i="9"/>
  <c r="C52" i="9"/>
  <c r="N75" i="9"/>
  <c r="L12" i="9"/>
  <c r="E96" i="9"/>
  <c r="E11" i="9"/>
  <c r="H84" i="7"/>
  <c r="H44" i="7"/>
  <c r="N178" i="9"/>
  <c r="L164" i="9"/>
  <c r="L158" i="9"/>
  <c r="N136" i="9"/>
  <c r="L122" i="9"/>
  <c r="L116" i="9"/>
  <c r="N94" i="9"/>
  <c r="L80" i="9"/>
  <c r="L74" i="9"/>
  <c r="N52" i="9"/>
  <c r="L38" i="9"/>
  <c r="L32" i="9"/>
  <c r="N9" i="9"/>
  <c r="C185" i="9"/>
  <c r="C179" i="9"/>
  <c r="E157" i="9"/>
  <c r="C143" i="9"/>
  <c r="C137" i="9"/>
  <c r="E115" i="9"/>
  <c r="C101" i="9"/>
  <c r="C95" i="9"/>
  <c r="E73" i="9"/>
  <c r="C59" i="9"/>
  <c r="C53" i="9"/>
  <c r="E31" i="9"/>
  <c r="C16" i="9"/>
  <c r="C10" i="9"/>
  <c r="H79" i="7"/>
  <c r="N177" i="9"/>
  <c r="N160" i="9"/>
  <c r="L157" i="9"/>
  <c r="N135" i="9"/>
  <c r="N118" i="9"/>
  <c r="L115" i="9"/>
  <c r="N93" i="9"/>
  <c r="N76" i="9"/>
  <c r="L73" i="9"/>
  <c r="N51" i="9"/>
  <c r="E181" i="9"/>
  <c r="C178" i="9"/>
  <c r="E114" i="9"/>
  <c r="E72" i="9"/>
  <c r="E12" i="9"/>
  <c r="L156" i="9"/>
  <c r="L72" i="9"/>
  <c r="L30" i="9"/>
  <c r="C135" i="9"/>
  <c r="C34" i="9"/>
  <c r="N185" i="9"/>
  <c r="L180" i="9"/>
  <c r="N158" i="9"/>
  <c r="N143" i="9"/>
  <c r="L138" i="9"/>
  <c r="N116" i="9"/>
  <c r="N101" i="9"/>
  <c r="L96" i="9"/>
  <c r="N74" i="9"/>
  <c r="N59" i="9"/>
  <c r="L54" i="9"/>
  <c r="N32" i="9"/>
  <c r="N16" i="9"/>
  <c r="L11" i="9"/>
  <c r="E179" i="9"/>
  <c r="E164" i="9"/>
  <c r="C159" i="9"/>
  <c r="E137" i="9"/>
  <c r="E122" i="9"/>
  <c r="C117" i="9"/>
  <c r="E95" i="9"/>
  <c r="E80" i="9"/>
  <c r="C75" i="9"/>
  <c r="E53" i="9"/>
  <c r="E38" i="9"/>
  <c r="C33" i="9"/>
  <c r="E10" i="9"/>
  <c r="H96" i="7"/>
  <c r="L179" i="9"/>
  <c r="L143" i="9"/>
  <c r="L137" i="9"/>
  <c r="L101" i="9"/>
  <c r="L95" i="9"/>
  <c r="L59" i="9"/>
  <c r="N31" i="9"/>
  <c r="L10" i="9"/>
  <c r="E178" i="9"/>
  <c r="C158" i="9"/>
  <c r="C122" i="9"/>
  <c r="E94" i="9"/>
  <c r="C74" i="9"/>
  <c r="E52" i="9"/>
  <c r="C32" i="9"/>
  <c r="E9" i="9"/>
  <c r="L181" i="9"/>
  <c r="L97" i="9"/>
  <c r="N33" i="9"/>
  <c r="E138" i="9"/>
  <c r="E54" i="9"/>
  <c r="K8" i="15"/>
  <c r="F8" i="15"/>
  <c r="J8" i="15"/>
  <c r="K14" i="15"/>
  <c r="K7" i="15"/>
  <c r="J14" i="15"/>
  <c r="J7" i="15"/>
  <c r="K12" i="15"/>
  <c r="J12" i="15"/>
  <c r="F12" i="15"/>
  <c r="F14" i="15"/>
  <c r="F12" i="14"/>
  <c r="K8" i="14"/>
  <c r="F8" i="25"/>
  <c r="F20" i="25" s="1"/>
  <c r="F7" i="25"/>
  <c r="J8" i="14"/>
  <c r="E8" i="25"/>
  <c r="E20" i="25" s="1"/>
  <c r="E7" i="25"/>
  <c r="C7" i="25"/>
  <c r="K14" i="14"/>
  <c r="K7" i="14"/>
  <c r="D8" i="25"/>
  <c r="D20" i="25" s="1"/>
  <c r="D7" i="25"/>
  <c r="J14" i="14"/>
  <c r="J7" i="14"/>
  <c r="C8" i="25"/>
  <c r="C20" i="25" s="1"/>
  <c r="H7" i="25"/>
  <c r="K12" i="14"/>
  <c r="K8" i="25"/>
  <c r="K7" i="25"/>
  <c r="I8" i="25"/>
  <c r="F14" i="14"/>
  <c r="J12" i="14"/>
  <c r="J8" i="25"/>
  <c r="J20" i="25" s="1"/>
  <c r="J7" i="25"/>
  <c r="I7" i="25"/>
  <c r="H8" i="25"/>
  <c r="H20" i="25" s="1"/>
  <c r="K8" i="24"/>
  <c r="K20" i="24" s="1"/>
  <c r="J7" i="24"/>
  <c r="F13" i="13"/>
  <c r="K15" i="13"/>
  <c r="J67" i="12"/>
  <c r="J59" i="12"/>
  <c r="J55" i="12"/>
  <c r="J47" i="12"/>
  <c r="J43" i="12"/>
  <c r="J39" i="12"/>
  <c r="J32" i="12"/>
  <c r="J25" i="12"/>
  <c r="J18" i="12"/>
  <c r="J14" i="12"/>
  <c r="J10" i="12"/>
  <c r="J8" i="24"/>
  <c r="I7" i="24"/>
  <c r="E13" i="13"/>
  <c r="S13" i="13" s="1"/>
  <c r="J15" i="13"/>
  <c r="W15" i="13" s="1"/>
  <c r="I67" i="12"/>
  <c r="I59" i="12"/>
  <c r="I55" i="12"/>
  <c r="I47" i="12"/>
  <c r="I43" i="12"/>
  <c r="I39" i="12"/>
  <c r="I32" i="12"/>
  <c r="I25" i="12"/>
  <c r="I18" i="12"/>
  <c r="I14" i="12"/>
  <c r="I10" i="12"/>
  <c r="I24" i="12"/>
  <c r="I9" i="12"/>
  <c r="D7" i="24"/>
  <c r="J57" i="12"/>
  <c r="J45" i="12"/>
  <c r="J37" i="12"/>
  <c r="J73" i="12" s="1"/>
  <c r="J20" i="12"/>
  <c r="J12" i="12"/>
  <c r="I56" i="12"/>
  <c r="I33" i="12"/>
  <c r="I15" i="12"/>
  <c r="I8" i="24"/>
  <c r="H7" i="24"/>
  <c r="J66" i="12"/>
  <c r="J58" i="12"/>
  <c r="J50" i="12"/>
  <c r="J46" i="12"/>
  <c r="J42" i="12"/>
  <c r="J38" i="12"/>
  <c r="J28" i="12"/>
  <c r="J24" i="12"/>
  <c r="J17" i="12"/>
  <c r="J13" i="12"/>
  <c r="J9" i="12"/>
  <c r="H8" i="24"/>
  <c r="E7" i="24"/>
  <c r="I66" i="12"/>
  <c r="I58" i="12"/>
  <c r="I50" i="12"/>
  <c r="I46" i="12"/>
  <c r="I42" i="12"/>
  <c r="I38" i="12"/>
  <c r="I28" i="12"/>
  <c r="I17" i="12"/>
  <c r="I13" i="12"/>
  <c r="E8" i="24"/>
  <c r="F8" i="13"/>
  <c r="K8" i="13"/>
  <c r="J61" i="12"/>
  <c r="J49" i="12"/>
  <c r="J41" i="12"/>
  <c r="J27" i="12"/>
  <c r="J16" i="12"/>
  <c r="J4" i="12"/>
  <c r="I48" i="12"/>
  <c r="I40" i="12"/>
  <c r="I19" i="12"/>
  <c r="I3" i="12"/>
  <c r="D8" i="24"/>
  <c r="C7" i="24"/>
  <c r="E8" i="13"/>
  <c r="J8" i="13"/>
  <c r="I61" i="12"/>
  <c r="I57" i="12"/>
  <c r="I49" i="12"/>
  <c r="I45" i="12"/>
  <c r="I41" i="12"/>
  <c r="I37" i="12"/>
  <c r="I73" i="12" s="1"/>
  <c r="I27" i="12"/>
  <c r="I20" i="12"/>
  <c r="I16" i="12"/>
  <c r="I12" i="12"/>
  <c r="I4" i="12"/>
  <c r="F8" i="24"/>
  <c r="C8" i="24"/>
  <c r="F15" i="13"/>
  <c r="F7" i="13"/>
  <c r="K7" i="13"/>
  <c r="J60" i="12"/>
  <c r="J56" i="12"/>
  <c r="J48" i="12"/>
  <c r="J44" i="12"/>
  <c r="J40" i="12"/>
  <c r="J33" i="12"/>
  <c r="J26" i="12"/>
  <c r="J19" i="12"/>
  <c r="J15" i="12"/>
  <c r="J11" i="12"/>
  <c r="J3" i="12"/>
  <c r="F7" i="24"/>
  <c r="K7" i="24"/>
  <c r="E15" i="13"/>
  <c r="S15" i="13" s="1"/>
  <c r="E7" i="13"/>
  <c r="J7" i="13"/>
  <c r="I60" i="12"/>
  <c r="I44" i="12"/>
  <c r="I26" i="12"/>
  <c r="I11" i="12"/>
  <c r="J49" i="10"/>
  <c r="J39" i="10"/>
  <c r="J27" i="10"/>
  <c r="J17" i="10"/>
  <c r="J12" i="10"/>
  <c r="J10" i="10"/>
  <c r="L12" i="11"/>
  <c r="I49" i="10"/>
  <c r="I43" i="10"/>
  <c r="I39" i="10"/>
  <c r="J26" i="10"/>
  <c r="J18" i="10"/>
  <c r="J13" i="10"/>
  <c r="I10" i="10"/>
  <c r="J53" i="10"/>
  <c r="J48" i="10"/>
  <c r="J42" i="10"/>
  <c r="J34" i="10"/>
  <c r="I31" i="10"/>
  <c r="J14" i="10"/>
  <c r="J50" i="10"/>
  <c r="J40" i="10"/>
  <c r="I27" i="10"/>
  <c r="I11" i="10"/>
  <c r="I50" i="10"/>
  <c r="I40" i="10"/>
  <c r="I26" i="10"/>
  <c r="J11" i="10"/>
  <c r="I53" i="10"/>
  <c r="I48" i="10"/>
  <c r="I42" i="10"/>
  <c r="I34" i="10"/>
  <c r="I30" i="10"/>
  <c r="I14" i="10"/>
  <c r="I9" i="10"/>
  <c r="J47" i="10"/>
  <c r="J41" i="10"/>
  <c r="J31" i="10"/>
  <c r="I29" i="10"/>
  <c r="I20" i="10"/>
  <c r="I13" i="10"/>
  <c r="J8" i="10"/>
  <c r="I51" i="10"/>
  <c r="I47" i="10"/>
  <c r="I41" i="10"/>
  <c r="J30" i="10"/>
  <c r="I28" i="10"/>
  <c r="I19" i="10"/>
  <c r="I12" i="10"/>
  <c r="I8" i="10"/>
  <c r="J46" i="10"/>
  <c r="J29" i="10"/>
  <c r="I18" i="10"/>
  <c r="J7" i="10"/>
  <c r="I46" i="10"/>
  <c r="J28" i="10"/>
  <c r="I17" i="10"/>
  <c r="I7" i="10"/>
  <c r="L37" i="11"/>
  <c r="L19" i="11"/>
  <c r="J33" i="11"/>
  <c r="J15" i="11"/>
  <c r="J8" i="11"/>
  <c r="J18" i="11"/>
  <c r="L8" i="11"/>
  <c r="L36" i="11"/>
  <c r="L18" i="11"/>
  <c r="J32" i="11"/>
  <c r="J13" i="11"/>
  <c r="J22" i="11"/>
  <c r="L33" i="11"/>
  <c r="L15" i="11"/>
  <c r="J27" i="11"/>
  <c r="J12" i="11"/>
  <c r="J11" i="11"/>
  <c r="L32" i="11"/>
  <c r="L14" i="11"/>
  <c r="J26" i="11"/>
  <c r="L11" i="11"/>
  <c r="L27" i="11"/>
  <c r="L13" i="11"/>
  <c r="L26" i="11"/>
  <c r="J20" i="11"/>
  <c r="L9" i="11"/>
  <c r="L20" i="11"/>
  <c r="L22" i="11"/>
  <c r="J37" i="11"/>
  <c r="J19" i="11"/>
  <c r="J9" i="11"/>
  <c r="J36" i="11"/>
  <c r="I13" i="13"/>
  <c r="H13" i="13"/>
  <c r="H15" i="13"/>
  <c r="I15" i="13"/>
  <c r="C15" i="13"/>
  <c r="C13" i="13"/>
  <c r="D15" i="13"/>
  <c r="R15" i="13" s="1"/>
  <c r="D13" i="13"/>
  <c r="R13" i="13" s="1"/>
  <c r="A1" i="25"/>
  <c r="A1" i="24"/>
  <c r="H34" i="7"/>
  <c r="H38" i="7"/>
  <c r="H36" i="7"/>
  <c r="H33" i="7"/>
  <c r="E22" i="6"/>
  <c r="E21" i="6"/>
  <c r="F28" i="10"/>
  <c r="H59" i="12"/>
  <c r="H55" i="12"/>
  <c r="H45" i="12"/>
  <c r="H38" i="12"/>
  <c r="H27" i="12"/>
  <c r="H19" i="12"/>
  <c r="H14" i="12"/>
  <c r="H10" i="12"/>
  <c r="G67" i="12"/>
  <c r="G57" i="12"/>
  <c r="G47" i="12"/>
  <c r="G40" i="12"/>
  <c r="G33" i="12"/>
  <c r="G19" i="12"/>
  <c r="G13" i="12"/>
  <c r="H20" i="10"/>
  <c r="G53" i="10"/>
  <c r="G47" i="10"/>
  <c r="G42" i="10"/>
  <c r="G34" i="10"/>
  <c r="G28" i="10"/>
  <c r="G20" i="10"/>
  <c r="G14" i="10"/>
  <c r="G10" i="10"/>
  <c r="I36" i="11"/>
  <c r="G46" i="10"/>
  <c r="G30" i="10"/>
  <c r="G12" i="10"/>
  <c r="H66" i="12"/>
  <c r="H40" i="12"/>
  <c r="H15" i="12"/>
  <c r="G32" i="12"/>
  <c r="G4" i="12"/>
  <c r="G39" i="10"/>
  <c r="G22" i="10"/>
  <c r="G11" i="10"/>
  <c r="F31" i="10"/>
  <c r="F27" i="10"/>
  <c r="H58" i="12"/>
  <c r="H49" i="12"/>
  <c r="H42" i="12"/>
  <c r="H37" i="12"/>
  <c r="H26" i="12"/>
  <c r="H18" i="12"/>
  <c r="H13" i="12"/>
  <c r="H9" i="12"/>
  <c r="G66" i="12"/>
  <c r="G56" i="12"/>
  <c r="G49" i="12"/>
  <c r="G38" i="12"/>
  <c r="G27" i="12"/>
  <c r="G16" i="12"/>
  <c r="G12" i="12"/>
  <c r="G10" i="12"/>
  <c r="G51" i="10"/>
  <c r="G48" i="10"/>
  <c r="G41" i="10"/>
  <c r="G31" i="10"/>
  <c r="G27" i="10"/>
  <c r="G19" i="10"/>
  <c r="G13" i="10"/>
  <c r="G9" i="10"/>
  <c r="G15" i="12"/>
  <c r="G50" i="10"/>
  <c r="G40" i="10"/>
  <c r="G18" i="10"/>
  <c r="G8" i="10"/>
  <c r="H56" i="12"/>
  <c r="H47" i="12"/>
  <c r="H24" i="12"/>
  <c r="H11" i="12"/>
  <c r="G58" i="12"/>
  <c r="G48" i="12"/>
  <c r="G24" i="12"/>
  <c r="G11" i="12"/>
  <c r="G49" i="10"/>
  <c r="G29" i="10"/>
  <c r="G17" i="10"/>
  <c r="G7" i="10"/>
  <c r="F30" i="10"/>
  <c r="H67" i="12"/>
  <c r="H57" i="12"/>
  <c r="H48" i="12"/>
  <c r="H41" i="12"/>
  <c r="H33" i="12"/>
  <c r="H25" i="12"/>
  <c r="H16" i="12"/>
  <c r="H12" i="12"/>
  <c r="H4" i="12"/>
  <c r="G59" i="12"/>
  <c r="G55" i="12"/>
  <c r="G42" i="12"/>
  <c r="G37" i="12"/>
  <c r="G26" i="12"/>
  <c r="G18" i="12"/>
  <c r="G9" i="12"/>
  <c r="G26" i="10"/>
  <c r="F29" i="10"/>
  <c r="H32" i="12"/>
  <c r="H3" i="12"/>
  <c r="G41" i="12"/>
  <c r="G14" i="12"/>
  <c r="G43" i="10"/>
  <c r="D12" i="11"/>
  <c r="D13" i="11"/>
  <c r="C27" i="6"/>
  <c r="C22" i="6"/>
  <c r="C17" i="6"/>
  <c r="C12" i="6"/>
  <c r="C7" i="6"/>
  <c r="H68" i="7"/>
  <c r="M49" i="7"/>
  <c r="M45" i="7"/>
  <c r="M38" i="7"/>
  <c r="M34" i="7"/>
  <c r="N25" i="7"/>
  <c r="N21" i="7"/>
  <c r="H23" i="7"/>
  <c r="M10" i="7"/>
  <c r="M7" i="7"/>
  <c r="G31" i="8"/>
  <c r="G11" i="8"/>
  <c r="D12" i="15"/>
  <c r="I8" i="15"/>
  <c r="F7" i="15"/>
  <c r="H12" i="14"/>
  <c r="I8" i="14"/>
  <c r="F7" i="14"/>
  <c r="H8" i="13"/>
  <c r="D67" i="12"/>
  <c r="H61" i="12"/>
  <c r="E60" i="12"/>
  <c r="C59" i="12"/>
  <c r="E56" i="12"/>
  <c r="C55" i="12"/>
  <c r="E48" i="12"/>
  <c r="C47" i="12"/>
  <c r="G45" i="12"/>
  <c r="F21" i="6"/>
  <c r="F16" i="6"/>
  <c r="F11" i="6"/>
  <c r="F6" i="6"/>
  <c r="H67" i="7"/>
  <c r="L49" i="7"/>
  <c r="L45" i="7"/>
  <c r="L38" i="7"/>
  <c r="L34" i="7"/>
  <c r="O25" i="7"/>
  <c r="O21" i="7"/>
  <c r="H25" i="7"/>
  <c r="L10" i="7"/>
  <c r="L7" i="7"/>
  <c r="G30" i="8"/>
  <c r="G10" i="8"/>
  <c r="C12" i="15"/>
  <c r="H8" i="15"/>
  <c r="E7" i="15"/>
  <c r="I12" i="14"/>
  <c r="H8" i="14"/>
  <c r="E7" i="14"/>
  <c r="D7" i="13"/>
  <c r="C67" i="12"/>
  <c r="G61" i="12"/>
  <c r="D60" i="12"/>
  <c r="F57" i="12"/>
  <c r="D56" i="12"/>
  <c r="H50" i="12"/>
  <c r="F49" i="12"/>
  <c r="D48" i="12"/>
  <c r="H46" i="12"/>
  <c r="F45" i="12"/>
  <c r="D43" i="12"/>
  <c r="F40" i="12"/>
  <c r="D39" i="12"/>
  <c r="E16" i="6"/>
  <c r="E11" i="6"/>
  <c r="E6" i="6"/>
  <c r="H60" i="7"/>
  <c r="O47" i="7"/>
  <c r="O44" i="7"/>
  <c r="O36" i="7"/>
  <c r="O33" i="7"/>
  <c r="O23" i="7"/>
  <c r="O20" i="7"/>
  <c r="L12" i="7"/>
  <c r="L8" i="7"/>
  <c r="H12" i="7"/>
  <c r="G29" i="8"/>
  <c r="G7" i="8"/>
  <c r="D14" i="15"/>
  <c r="D7" i="15"/>
  <c r="D14" i="14"/>
  <c r="F8" i="14"/>
  <c r="D7" i="14"/>
  <c r="C7" i="13"/>
  <c r="E61" i="12"/>
  <c r="F61" i="12" s="1"/>
  <c r="C60" i="12"/>
  <c r="E57" i="12"/>
  <c r="C56" i="12"/>
  <c r="G50" i="12"/>
  <c r="E49" i="12"/>
  <c r="C48" i="12"/>
  <c r="G46" i="12"/>
  <c r="E45" i="12"/>
  <c r="C43" i="12"/>
  <c r="E40" i="12"/>
  <c r="C39" i="12"/>
  <c r="D26" i="6"/>
  <c r="D21" i="6"/>
  <c r="D16" i="6"/>
  <c r="D11" i="6"/>
  <c r="D6" i="6"/>
  <c r="N47" i="7"/>
  <c r="N44" i="7"/>
  <c r="N36" i="7"/>
  <c r="N33" i="7"/>
  <c r="N23" i="7"/>
  <c r="N20" i="7"/>
  <c r="M12" i="7"/>
  <c r="M8" i="7"/>
  <c r="H10" i="7"/>
  <c r="G28" i="8"/>
  <c r="G6" i="8"/>
  <c r="C14" i="15"/>
  <c r="E8" i="15"/>
  <c r="C7" i="15"/>
  <c r="C14" i="14"/>
  <c r="E8" i="14"/>
  <c r="C7" i="14"/>
  <c r="D8" i="13"/>
  <c r="A1" i="13"/>
  <c r="D61" i="12"/>
  <c r="F58" i="12"/>
  <c r="D57" i="12"/>
  <c r="F50" i="12"/>
  <c r="D49" i="12"/>
  <c r="F46" i="12"/>
  <c r="D45" i="12"/>
  <c r="F41" i="12"/>
  <c r="D40" i="12"/>
  <c r="F37" i="12"/>
  <c r="C26" i="6"/>
  <c r="C21" i="6"/>
  <c r="C16" i="6"/>
  <c r="C11" i="6"/>
  <c r="C6" i="6"/>
  <c r="H56" i="7"/>
  <c r="M47" i="7"/>
  <c r="M44" i="7"/>
  <c r="M36" i="7"/>
  <c r="M33" i="7"/>
  <c r="M23" i="7"/>
  <c r="M20" i="7"/>
  <c r="N12" i="7"/>
  <c r="N8" i="7"/>
  <c r="H8" i="7"/>
  <c r="G25" i="8"/>
  <c r="A1" i="8"/>
  <c r="I12" i="15"/>
  <c r="D8" i="15"/>
  <c r="A1" i="15"/>
  <c r="C12" i="14"/>
  <c r="D8" i="14"/>
  <c r="A2" i="14"/>
  <c r="C8" i="13"/>
  <c r="F66" i="12"/>
  <c r="C61" i="12"/>
  <c r="E58" i="12"/>
  <c r="C57" i="12"/>
  <c r="E50" i="12"/>
  <c r="C49" i="12"/>
  <c r="E46" i="12"/>
  <c r="C45" i="12"/>
  <c r="E41" i="12"/>
  <c r="C40" i="12"/>
  <c r="E37" i="12"/>
  <c r="F22" i="6"/>
  <c r="F17" i="6"/>
  <c r="F12" i="6"/>
  <c r="F7" i="6"/>
  <c r="A1" i="6"/>
  <c r="H55" i="7"/>
  <c r="L47" i="7"/>
  <c r="L44" i="7"/>
  <c r="L36" i="7"/>
  <c r="L33" i="7"/>
  <c r="L23" i="7"/>
  <c r="L20" i="7"/>
  <c r="O12" i="7"/>
  <c r="O8" i="7"/>
  <c r="H7" i="7"/>
  <c r="G24" i="8"/>
  <c r="A1" i="9"/>
  <c r="H12" i="15"/>
  <c r="D27" i="6"/>
  <c r="D22" i="6"/>
  <c r="D17" i="6"/>
  <c r="D12" i="6"/>
  <c r="D7" i="6"/>
  <c r="N49" i="7"/>
  <c r="N45" i="7"/>
  <c r="N38" i="7"/>
  <c r="N34" i="7"/>
  <c r="M25" i="7"/>
  <c r="M21" i="7"/>
  <c r="H21" i="7"/>
  <c r="N10" i="7"/>
  <c r="N7" i="7"/>
  <c r="G32" i="8"/>
  <c r="G12" i="8"/>
  <c r="O38" i="7"/>
  <c r="G14" i="8"/>
  <c r="H14" i="14"/>
  <c r="I7" i="14"/>
  <c r="F60" i="12"/>
  <c r="C42" i="12"/>
  <c r="E39" i="12"/>
  <c r="E32" i="12"/>
  <c r="C28" i="12"/>
  <c r="E25" i="12"/>
  <c r="C24" i="12"/>
  <c r="E18" i="12"/>
  <c r="C17" i="12"/>
  <c r="E14" i="12"/>
  <c r="C13" i="12"/>
  <c r="E10" i="12"/>
  <c r="C9" i="12"/>
  <c r="G3" i="12"/>
  <c r="C53" i="10"/>
  <c r="E49" i="10"/>
  <c r="C48" i="10"/>
  <c r="E43" i="10"/>
  <c r="C42" i="10"/>
  <c r="E39" i="10"/>
  <c r="C34" i="10"/>
  <c r="E29" i="10"/>
  <c r="H27" i="10"/>
  <c r="F26" i="10"/>
  <c r="D20" i="10"/>
  <c r="H18" i="10"/>
  <c r="F17" i="10"/>
  <c r="D14" i="10"/>
  <c r="H12" i="10"/>
  <c r="F11" i="10"/>
  <c r="D10" i="10"/>
  <c r="H8" i="10"/>
  <c r="F7" i="10"/>
  <c r="H36" i="11"/>
  <c r="C36" i="11"/>
  <c r="E32" i="11"/>
  <c r="H26" i="11"/>
  <c r="C26" i="11"/>
  <c r="I19" i="11"/>
  <c r="D19" i="11"/>
  <c r="D18" i="11"/>
  <c r="G14" i="11"/>
  <c r="H11" i="11"/>
  <c r="E13" i="11"/>
  <c r="I9" i="11"/>
  <c r="G8" i="11"/>
  <c r="F72" i="12" s="1"/>
  <c r="E11" i="10"/>
  <c r="C10" i="10"/>
  <c r="E7" i="10"/>
  <c r="G37" i="11"/>
  <c r="I33" i="11"/>
  <c r="D33" i="11"/>
  <c r="G27" i="11"/>
  <c r="I22" i="11"/>
  <c r="E17" i="6"/>
  <c r="O34" i="7"/>
  <c r="D12" i="14"/>
  <c r="H7" i="14"/>
  <c r="F67" i="12"/>
  <c r="F59" i="12"/>
  <c r="F56" i="12"/>
  <c r="H43" i="12"/>
  <c r="D41" i="12"/>
  <c r="F38" i="12"/>
  <c r="F33" i="12"/>
  <c r="D32" i="12"/>
  <c r="F26" i="12"/>
  <c r="D25" i="12"/>
  <c r="H20" i="12"/>
  <c r="F19" i="12"/>
  <c r="D18" i="12"/>
  <c r="F15" i="12"/>
  <c r="D14" i="12"/>
  <c r="F11" i="12"/>
  <c r="D10" i="12"/>
  <c r="F3" i="12"/>
  <c r="F22" i="10"/>
  <c r="H51" i="10"/>
  <c r="F50" i="10"/>
  <c r="D49" i="10"/>
  <c r="H47" i="10"/>
  <c r="F46" i="10"/>
  <c r="D43" i="10"/>
  <c r="H41" i="10"/>
  <c r="F40" i="10"/>
  <c r="D39" i="10"/>
  <c r="H31" i="10"/>
  <c r="C29" i="10"/>
  <c r="E26" i="10"/>
  <c r="C20" i="10"/>
  <c r="E17" i="10"/>
  <c r="C14" i="10"/>
  <c r="E12" i="6"/>
  <c r="L25" i="7"/>
  <c r="I8" i="13"/>
  <c r="E67" i="12"/>
  <c r="E59" i="12"/>
  <c r="F55" i="12"/>
  <c r="F48" i="12"/>
  <c r="G43" i="12"/>
  <c r="C41" i="12"/>
  <c r="E38" i="12"/>
  <c r="E33" i="12"/>
  <c r="C32" i="12"/>
  <c r="E26" i="12"/>
  <c r="C25" i="12"/>
  <c r="G20" i="12"/>
  <c r="E19" i="12"/>
  <c r="C18" i="12"/>
  <c r="E15" i="12"/>
  <c r="C14" i="12"/>
  <c r="E11" i="12"/>
  <c r="C10" i="12"/>
  <c r="E3" i="12"/>
  <c r="E22" i="10"/>
  <c r="E50" i="10"/>
  <c r="C49" i="10"/>
  <c r="E46" i="10"/>
  <c r="C43" i="10"/>
  <c r="E40" i="10"/>
  <c r="C39" i="10"/>
  <c r="E30" i="10"/>
  <c r="H28" i="10"/>
  <c r="D26" i="10"/>
  <c r="H19" i="10"/>
  <c r="F18" i="10"/>
  <c r="D17" i="10"/>
  <c r="H13" i="10"/>
  <c r="F12" i="10"/>
  <c r="D11" i="10"/>
  <c r="H9" i="10"/>
  <c r="F8" i="10"/>
  <c r="D7" i="10"/>
  <c r="G36" i="11"/>
  <c r="I32" i="11"/>
  <c r="D32" i="11"/>
  <c r="G26" i="11"/>
  <c r="H22" i="11"/>
  <c r="H20" i="11"/>
  <c r="C20" i="11"/>
  <c r="C11" i="11"/>
  <c r="H13" i="11"/>
  <c r="E15" i="11"/>
  <c r="C13" i="11"/>
  <c r="G9" i="11"/>
  <c r="D8" i="11"/>
  <c r="F42" i="10"/>
  <c r="D31" i="10"/>
  <c r="C18" i="10"/>
  <c r="E7" i="6"/>
  <c r="L21" i="7"/>
  <c r="C8" i="15"/>
  <c r="I7" i="13"/>
  <c r="E66" i="12"/>
  <c r="D59" i="12"/>
  <c r="E55" i="12"/>
  <c r="F47" i="12"/>
  <c r="F43" i="12"/>
  <c r="D38" i="12"/>
  <c r="D33" i="12"/>
  <c r="H28" i="12"/>
  <c r="F27" i="12"/>
  <c r="D26" i="12"/>
  <c r="F20" i="12"/>
  <c r="D19" i="12"/>
  <c r="H17" i="12"/>
  <c r="F16" i="12"/>
  <c r="D15" i="12"/>
  <c r="F12" i="12"/>
  <c r="D11" i="12"/>
  <c r="F4" i="12"/>
  <c r="D3" i="12"/>
  <c r="D22" i="10"/>
  <c r="H53" i="10"/>
  <c r="F51" i="10"/>
  <c r="D50" i="10"/>
  <c r="H48" i="10"/>
  <c r="F47" i="10"/>
  <c r="D46" i="10"/>
  <c r="H42" i="10"/>
  <c r="F41" i="10"/>
  <c r="D40" i="10"/>
  <c r="H34" i="10"/>
  <c r="D30" i="10"/>
  <c r="E27" i="10"/>
  <c r="C26" i="10"/>
  <c r="E18" i="10"/>
  <c r="C17" i="10"/>
  <c r="E12" i="10"/>
  <c r="C11" i="10"/>
  <c r="E8" i="10"/>
  <c r="C7" i="10"/>
  <c r="E37" i="11"/>
  <c r="H33" i="11"/>
  <c r="C33" i="11"/>
  <c r="E27" i="11"/>
  <c r="G22" i="11"/>
  <c r="H19" i="11"/>
  <c r="C19" i="11"/>
  <c r="I15" i="11"/>
  <c r="G13" i="11"/>
  <c r="D15" i="11"/>
  <c r="E12" i="11"/>
  <c r="E9" i="11"/>
  <c r="C8" i="11"/>
  <c r="H39" i="10"/>
  <c r="H29" i="10"/>
  <c r="C27" i="10"/>
  <c r="H72" i="7"/>
  <c r="H20" i="7"/>
  <c r="I14" i="15"/>
  <c r="I7" i="15"/>
  <c r="H7" i="13"/>
  <c r="D66" i="12"/>
  <c r="D58" i="12"/>
  <c r="D55" i="12"/>
  <c r="E47" i="12"/>
  <c r="E43" i="12"/>
  <c r="C38" i="12"/>
  <c r="C33" i="12"/>
  <c r="G28" i="12"/>
  <c r="E27" i="12"/>
  <c r="C26" i="12"/>
  <c r="E20" i="12"/>
  <c r="C19" i="12"/>
  <c r="G17" i="12"/>
  <c r="E16" i="12"/>
  <c r="C15" i="12"/>
  <c r="E12" i="12"/>
  <c r="C11" i="12"/>
  <c r="E4" i="12"/>
  <c r="C3" i="12"/>
  <c r="C22" i="10"/>
  <c r="E51" i="10"/>
  <c r="C50" i="10"/>
  <c r="E47" i="10"/>
  <c r="C46" i="10"/>
  <c r="E41" i="10"/>
  <c r="C40" i="10"/>
  <c r="E31" i="10"/>
  <c r="C30" i="10"/>
  <c r="D27" i="10"/>
  <c r="F19" i="10"/>
  <c r="D18" i="10"/>
  <c r="H14" i="10"/>
  <c r="F13" i="10"/>
  <c r="D12" i="10"/>
  <c r="H10" i="10"/>
  <c r="F9" i="10"/>
  <c r="D8" i="10"/>
  <c r="A1" i="10"/>
  <c r="E36" i="11"/>
  <c r="H32" i="11"/>
  <c r="C32" i="11"/>
  <c r="E26" i="11"/>
  <c r="E22" i="11"/>
  <c r="G20" i="11"/>
  <c r="I18" i="11"/>
  <c r="H15" i="11"/>
  <c r="I12" i="11"/>
  <c r="C15" i="11"/>
  <c r="D9" i="11"/>
  <c r="A1" i="11"/>
  <c r="D41" i="10"/>
  <c r="F34" i="10"/>
  <c r="E28" i="10"/>
  <c r="E19" i="10"/>
  <c r="O10" i="7"/>
  <c r="H14" i="15"/>
  <c r="H7" i="15"/>
  <c r="C66" i="12"/>
  <c r="C58" i="12"/>
  <c r="D50" i="12"/>
  <c r="D47" i="12"/>
  <c r="F42" i="12"/>
  <c r="H39" i="12"/>
  <c r="D37" i="12"/>
  <c r="F28" i="12"/>
  <c r="D27" i="12"/>
  <c r="F24" i="12"/>
  <c r="D20" i="12"/>
  <c r="F17" i="12"/>
  <c r="D16" i="12"/>
  <c r="F13" i="12"/>
  <c r="D12" i="12"/>
  <c r="F9" i="12"/>
  <c r="D4" i="12"/>
  <c r="A1" i="12"/>
  <c r="F53" i="10"/>
  <c r="D51" i="10"/>
  <c r="H49" i="10"/>
  <c r="F48" i="10"/>
  <c r="D47" i="10"/>
  <c r="O45" i="7"/>
  <c r="A1" i="7"/>
  <c r="I14" i="14"/>
  <c r="C8" i="14"/>
  <c r="C12" i="11"/>
  <c r="H12" i="11"/>
  <c r="H18" i="11"/>
  <c r="D22" i="11"/>
  <c r="G32" i="11"/>
  <c r="F14" i="10"/>
  <c r="H26" i="10"/>
  <c r="E34" i="10"/>
  <c r="H50" i="10"/>
  <c r="D13" i="12"/>
  <c r="F18" i="12"/>
  <c r="F39" i="12"/>
  <c r="C27" i="11"/>
  <c r="C28" i="10"/>
  <c r="C4" i="12"/>
  <c r="H8" i="11"/>
  <c r="D26" i="11"/>
  <c r="H17" i="10"/>
  <c r="H46" i="10"/>
  <c r="D9" i="12"/>
  <c r="F14" i="12"/>
  <c r="D28" i="12"/>
  <c r="G60" i="12"/>
  <c r="D14" i="11"/>
  <c r="E20" i="11"/>
  <c r="D27" i="11"/>
  <c r="D36" i="11"/>
  <c r="C9" i="10"/>
  <c r="C12" i="10"/>
  <c r="C19" i="10"/>
  <c r="H40" i="10"/>
  <c r="C47" i="10"/>
  <c r="E53" i="10"/>
  <c r="E9" i="12"/>
  <c r="C20" i="12"/>
  <c r="E28" i="12"/>
  <c r="E42" i="12"/>
  <c r="H60" i="12"/>
  <c r="O7" i="7"/>
  <c r="I13" i="11"/>
  <c r="C27" i="12"/>
  <c r="H11" i="10"/>
  <c r="G19" i="11"/>
  <c r="D9" i="10"/>
  <c r="D19" i="10"/>
  <c r="C41" i="10"/>
  <c r="F10" i="12"/>
  <c r="D24" i="12"/>
  <c r="F32" i="12"/>
  <c r="C46" i="12"/>
  <c r="O49" i="7"/>
  <c r="G33" i="11"/>
  <c r="F39" i="10"/>
  <c r="H14" i="11"/>
  <c r="C8" i="10"/>
  <c r="D53" i="10"/>
  <c r="D42" i="12"/>
  <c r="I8" i="11"/>
  <c r="I14" i="11"/>
  <c r="C9" i="11"/>
  <c r="E14" i="11"/>
  <c r="G15" i="11"/>
  <c r="H27" i="11"/>
  <c r="D37" i="11"/>
  <c r="C13" i="10"/>
  <c r="D48" i="10"/>
  <c r="H9" i="11"/>
  <c r="G11" i="11"/>
  <c r="C18" i="11"/>
  <c r="I20" i="11"/>
  <c r="I26" i="11"/>
  <c r="H37" i="11"/>
  <c r="E9" i="10"/>
  <c r="D13" i="10"/>
  <c r="E20" i="10"/>
  <c r="H30" i="10"/>
  <c r="D42" i="10"/>
  <c r="E48" i="10"/>
  <c r="C16" i="12"/>
  <c r="E24" i="12"/>
  <c r="D46" i="12"/>
  <c r="E8" i="11"/>
  <c r="D20" i="11"/>
  <c r="H43" i="10"/>
  <c r="E13" i="12"/>
  <c r="G39" i="12"/>
  <c r="E19" i="11"/>
  <c r="D28" i="10"/>
  <c r="D11" i="11"/>
  <c r="I11" i="11"/>
  <c r="E18" i="11"/>
  <c r="I27" i="11"/>
  <c r="E10" i="10"/>
  <c r="E13" i="10"/>
  <c r="F20" i="10"/>
  <c r="C31" i="10"/>
  <c r="E42" i="10"/>
  <c r="F49" i="10"/>
  <c r="H22" i="10"/>
  <c r="D17" i="12"/>
  <c r="F25" i="12"/>
  <c r="H7" i="10"/>
  <c r="C51" i="10"/>
  <c r="C14" i="11"/>
  <c r="C37" i="11"/>
  <c r="E11" i="11"/>
  <c r="G12" i="11"/>
  <c r="G18" i="11"/>
  <c r="C22" i="11"/>
  <c r="E33" i="11"/>
  <c r="I37" i="11"/>
  <c r="F10" i="10"/>
  <c r="E14" i="10"/>
  <c r="D34" i="10"/>
  <c r="F43" i="10"/>
  <c r="D29" i="10"/>
  <c r="C12" i="12"/>
  <c r="E17" i="12"/>
  <c r="G25" i="12"/>
  <c r="C37" i="12"/>
  <c r="C73" i="12" s="1"/>
  <c r="C50" i="12"/>
  <c r="U13" i="15" l="1"/>
  <c r="G7" i="15"/>
  <c r="H93" i="7"/>
  <c r="J21" i="10"/>
  <c r="J44" i="10"/>
  <c r="U9" i="15"/>
  <c r="U10" i="15" s="1"/>
  <c r="U15" i="15"/>
  <c r="L12" i="15"/>
  <c r="K10" i="25"/>
  <c r="F10" i="25"/>
  <c r="F11" i="25" s="1"/>
  <c r="I10" i="25"/>
  <c r="W7" i="15"/>
  <c r="X7" i="15" s="1"/>
  <c r="J5" i="12"/>
  <c r="J21" i="12" s="1"/>
  <c r="J30" i="12" s="1"/>
  <c r="J34" i="12" s="1"/>
  <c r="G8" i="14"/>
  <c r="L7" i="14"/>
  <c r="G14" i="15"/>
  <c r="G8" i="15"/>
  <c r="G7" i="14"/>
  <c r="L8" i="13"/>
  <c r="L7" i="15"/>
  <c r="H20" i="24"/>
  <c r="L8" i="24"/>
  <c r="H97" i="7"/>
  <c r="L8" i="25"/>
  <c r="D10" i="25"/>
  <c r="D21" i="25" s="1"/>
  <c r="L8" i="14"/>
  <c r="Q13" i="13"/>
  <c r="G13" i="13"/>
  <c r="U15" i="13"/>
  <c r="L15" i="13"/>
  <c r="H95" i="7"/>
  <c r="L14" i="15"/>
  <c r="L7" i="13"/>
  <c r="L14" i="14"/>
  <c r="G8" i="13"/>
  <c r="G25" i="13" s="1"/>
  <c r="G14" i="14"/>
  <c r="L12" i="14"/>
  <c r="G7" i="13"/>
  <c r="U13" i="13"/>
  <c r="L13" i="13"/>
  <c r="L8" i="15"/>
  <c r="Q15" i="13"/>
  <c r="G15" i="13"/>
  <c r="J10" i="25"/>
  <c r="J21" i="25" s="1"/>
  <c r="H10" i="25"/>
  <c r="L7" i="25"/>
  <c r="C10" i="25"/>
  <c r="C21" i="25" s="1"/>
  <c r="G7" i="25"/>
  <c r="G12" i="14"/>
  <c r="G12" i="15"/>
  <c r="L7" i="24"/>
  <c r="G8" i="25"/>
  <c r="G20" i="25" s="1"/>
  <c r="E10" i="25"/>
  <c r="E21" i="25" s="1"/>
  <c r="G7" i="24"/>
  <c r="G8" i="24"/>
  <c r="G20" i="24" s="1"/>
  <c r="J51" i="12"/>
  <c r="L198" i="9"/>
  <c r="L197" i="9"/>
  <c r="N196" i="9"/>
  <c r="N197" i="9"/>
  <c r="L199" i="9"/>
  <c r="N195" i="9"/>
  <c r="L195" i="9"/>
  <c r="L196" i="9"/>
  <c r="N198" i="9"/>
  <c r="N199" i="9"/>
  <c r="K27" i="11"/>
  <c r="C94" i="7"/>
  <c r="M13" i="13"/>
  <c r="K14" i="13"/>
  <c r="M8" i="14"/>
  <c r="N8" i="14" s="1"/>
  <c r="K14" i="11"/>
  <c r="K19" i="11"/>
  <c r="G91" i="7"/>
  <c r="M7" i="15"/>
  <c r="N7" i="15" s="1"/>
  <c r="K9" i="15"/>
  <c r="L10" i="11"/>
  <c r="L16" i="11" s="1"/>
  <c r="L21" i="11" s="1"/>
  <c r="L23" i="11" s="1"/>
  <c r="L28" i="11" s="1"/>
  <c r="K8" i="11"/>
  <c r="J72" i="12"/>
  <c r="J74" i="12" s="1"/>
  <c r="M7" i="13"/>
  <c r="N7" i="13" s="1"/>
  <c r="K24" i="13"/>
  <c r="C91" i="7"/>
  <c r="K10" i="13"/>
  <c r="F16" i="13"/>
  <c r="T16" i="13" s="1"/>
  <c r="T15" i="13"/>
  <c r="J15" i="10"/>
  <c r="L34" i="11"/>
  <c r="K32" i="11"/>
  <c r="L41" i="11"/>
  <c r="K37" i="11"/>
  <c r="M12" i="14"/>
  <c r="N12" i="14" s="1"/>
  <c r="F94" i="7"/>
  <c r="K13" i="14"/>
  <c r="K36" i="11"/>
  <c r="L38" i="11"/>
  <c r="K26" i="11"/>
  <c r="M15" i="13"/>
  <c r="K16" i="13"/>
  <c r="C96" i="7"/>
  <c r="K19" i="24"/>
  <c r="D91" i="7"/>
  <c r="K10" i="24"/>
  <c r="J33" i="10"/>
  <c r="J35" i="10" s="1"/>
  <c r="J52" i="10"/>
  <c r="K12" i="11"/>
  <c r="K22" i="11"/>
  <c r="F14" i="13"/>
  <c r="T14" i="13" s="1"/>
  <c r="T13" i="13"/>
  <c r="V13" i="13"/>
  <c r="M12" i="15"/>
  <c r="N12" i="15" s="1"/>
  <c r="K13" i="15"/>
  <c r="G94" i="7"/>
  <c r="M8" i="15"/>
  <c r="N8" i="15" s="1"/>
  <c r="F91" i="7"/>
  <c r="M7" i="14"/>
  <c r="N7" i="14" s="1"/>
  <c r="K9" i="14"/>
  <c r="K15" i="11"/>
  <c r="K9" i="11"/>
  <c r="F96" i="7"/>
  <c r="K15" i="14"/>
  <c r="M14" i="14"/>
  <c r="N14" i="14" s="1"/>
  <c r="M8" i="13"/>
  <c r="N8" i="13" s="1"/>
  <c r="K25" i="13"/>
  <c r="F10" i="13"/>
  <c r="F11" i="13" s="1"/>
  <c r="K11" i="11"/>
  <c r="L42" i="11"/>
  <c r="K33" i="11"/>
  <c r="K42" i="11" s="1"/>
  <c r="K20" i="11"/>
  <c r="V15" i="13"/>
  <c r="J62" i="12"/>
  <c r="G96" i="7"/>
  <c r="K15" i="15"/>
  <c r="M14" i="15"/>
  <c r="N14" i="15" s="1"/>
  <c r="M8" i="25"/>
  <c r="N8" i="25" s="1"/>
  <c r="K20" i="25"/>
  <c r="K19" i="25"/>
  <c r="E91" i="7"/>
  <c r="M7" i="25"/>
  <c r="N7" i="25" s="1"/>
  <c r="K13" i="11"/>
  <c r="K18" i="11"/>
  <c r="R8" i="13"/>
  <c r="I20" i="25"/>
  <c r="M7" i="24"/>
  <c r="N7" i="24" s="1"/>
  <c r="F20" i="24"/>
  <c r="M8" i="24"/>
  <c r="N8" i="24" s="1"/>
  <c r="Q8" i="13"/>
  <c r="I14" i="13"/>
  <c r="V14" i="13" s="1"/>
  <c r="I16" i="13"/>
  <c r="V16" i="13" s="1"/>
  <c r="D16" i="13"/>
  <c r="R16" i="13" s="1"/>
  <c r="D14" i="13"/>
  <c r="R14" i="13" s="1"/>
  <c r="C14" i="13"/>
  <c r="Q14" i="13" s="1"/>
  <c r="C16" i="13"/>
  <c r="Q16" i="13" s="1"/>
  <c r="E14" i="13"/>
  <c r="S14" i="13" s="1"/>
  <c r="E16" i="13"/>
  <c r="S16" i="13" s="1"/>
  <c r="U7" i="13"/>
  <c r="H14" i="13"/>
  <c r="U14" i="13" s="1"/>
  <c r="H16" i="13"/>
  <c r="U16" i="13" s="1"/>
  <c r="J14" i="13"/>
  <c r="W14" i="13" s="1"/>
  <c r="J16" i="13"/>
  <c r="W16" i="13" s="1"/>
  <c r="D79" i="7"/>
  <c r="I19" i="25"/>
  <c r="E19" i="25"/>
  <c r="C19" i="25"/>
  <c r="D19" i="25"/>
  <c r="Q7" i="13"/>
  <c r="T8" i="13"/>
  <c r="U8" i="13"/>
  <c r="T7" i="13"/>
  <c r="V7" i="13"/>
  <c r="F19" i="25"/>
  <c r="E44" i="7"/>
  <c r="W7" i="13"/>
  <c r="J19" i="25"/>
  <c r="S8" i="13"/>
  <c r="E55" i="7"/>
  <c r="H19" i="25"/>
  <c r="F10" i="24"/>
  <c r="D44" i="7"/>
  <c r="F19" i="24"/>
  <c r="S7" i="13"/>
  <c r="R7" i="13"/>
  <c r="W8" i="13"/>
  <c r="V8" i="13"/>
  <c r="E20" i="7"/>
  <c r="E79" i="7"/>
  <c r="H10" i="24"/>
  <c r="H21" i="24" s="1"/>
  <c r="D55" i="7"/>
  <c r="H19" i="24"/>
  <c r="E7" i="7"/>
  <c r="E33" i="7"/>
  <c r="C70" i="7"/>
  <c r="C72" i="7"/>
  <c r="I10" i="24"/>
  <c r="I21" i="24" s="1"/>
  <c r="D67" i="7"/>
  <c r="I19" i="24"/>
  <c r="C20" i="24"/>
  <c r="C10" i="24"/>
  <c r="C21" i="24" s="1"/>
  <c r="D7" i="7"/>
  <c r="C19" i="24"/>
  <c r="E67" i="7"/>
  <c r="D33" i="7"/>
  <c r="E10" i="24"/>
  <c r="E21" i="24" s="1"/>
  <c r="I20" i="24"/>
  <c r="D20" i="7"/>
  <c r="D10" i="24"/>
  <c r="D21" i="24" s="1"/>
  <c r="D19" i="24"/>
  <c r="D20" i="24"/>
  <c r="I5" i="12"/>
  <c r="I21" i="12" s="1"/>
  <c r="I30" i="12" s="1"/>
  <c r="I34" i="12" s="1"/>
  <c r="N78" i="9"/>
  <c r="N99" i="9"/>
  <c r="L36" i="9"/>
  <c r="I51" i="12"/>
  <c r="E57" i="9"/>
  <c r="C199" i="9"/>
  <c r="E183" i="9"/>
  <c r="N162" i="9"/>
  <c r="L78" i="9"/>
  <c r="I44" i="10"/>
  <c r="C162" i="9"/>
  <c r="E36" i="9"/>
  <c r="I21" i="10"/>
  <c r="C196" i="9"/>
  <c r="C36" i="9"/>
  <c r="C120" i="9"/>
  <c r="E78" i="9"/>
  <c r="C99" i="9"/>
  <c r="L14" i="9"/>
  <c r="N120" i="9"/>
  <c r="L120" i="9"/>
  <c r="N36" i="9"/>
  <c r="E99" i="9"/>
  <c r="C57" i="9"/>
  <c r="H72" i="12"/>
  <c r="I72" i="12"/>
  <c r="I52" i="10"/>
  <c r="I33" i="10"/>
  <c r="I35" i="10" s="1"/>
  <c r="I15" i="10"/>
  <c r="C78" i="9"/>
  <c r="E141" i="9"/>
  <c r="C198" i="9"/>
  <c r="E120" i="9"/>
  <c r="C141" i="9"/>
  <c r="L162" i="9"/>
  <c r="N141" i="9"/>
  <c r="L99" i="9"/>
  <c r="N14" i="9"/>
  <c r="C197" i="9"/>
  <c r="E162" i="9"/>
  <c r="C195" i="9"/>
  <c r="C183" i="9"/>
  <c r="L183" i="9"/>
  <c r="L57" i="9"/>
  <c r="L141" i="9"/>
  <c r="N183" i="9"/>
  <c r="N57" i="9"/>
  <c r="I62" i="12"/>
  <c r="J41" i="11"/>
  <c r="I7" i="22" s="1"/>
  <c r="J34" i="11"/>
  <c r="J38" i="11"/>
  <c r="J42" i="11"/>
  <c r="J10" i="11"/>
  <c r="E72" i="12"/>
  <c r="D72" i="12"/>
  <c r="P44" i="7"/>
  <c r="G33" i="10"/>
  <c r="P45" i="7"/>
  <c r="P47" i="7"/>
  <c r="E33" i="10"/>
  <c r="H33" i="10"/>
  <c r="F18" i="11"/>
  <c r="F33" i="10"/>
  <c r="C33" i="10"/>
  <c r="D33" i="10"/>
  <c r="P49" i="7"/>
  <c r="J23" i="10" l="1"/>
  <c r="J54" i="10"/>
  <c r="M18" i="11"/>
  <c r="N18" i="11" s="1"/>
  <c r="O8" i="14"/>
  <c r="P8" i="14" s="1"/>
  <c r="G9" i="14"/>
  <c r="G10" i="14" s="1"/>
  <c r="V13" i="15"/>
  <c r="W12" i="15"/>
  <c r="X12" i="15" s="1"/>
  <c r="AC8" i="15"/>
  <c r="AD8" i="15" s="1"/>
  <c r="G9" i="15"/>
  <c r="G10" i="15" s="1"/>
  <c r="AA9" i="15"/>
  <c r="AA10" i="15" s="1"/>
  <c r="V9" i="15"/>
  <c r="W8" i="15"/>
  <c r="X8" i="15" s="1"/>
  <c r="G13" i="14"/>
  <c r="O12" i="15"/>
  <c r="P12" i="15" s="1"/>
  <c r="L9" i="15"/>
  <c r="AB15" i="15"/>
  <c r="G15" i="15"/>
  <c r="G13" i="15"/>
  <c r="L13" i="15"/>
  <c r="O7" i="15"/>
  <c r="P7" i="15" s="1"/>
  <c r="O8" i="13"/>
  <c r="P8" i="13" s="1"/>
  <c r="L9" i="14"/>
  <c r="L10" i="14" s="1"/>
  <c r="O7" i="14"/>
  <c r="P7" i="14" s="1"/>
  <c r="O8" i="15"/>
  <c r="P8" i="15" s="1"/>
  <c r="G15" i="14"/>
  <c r="O7" i="24"/>
  <c r="P7" i="24" s="1"/>
  <c r="L10" i="24"/>
  <c r="L19" i="24"/>
  <c r="G24" i="13"/>
  <c r="G10" i="13"/>
  <c r="G11" i="13" s="1"/>
  <c r="G16" i="13"/>
  <c r="O15" i="13"/>
  <c r="P15" i="13" s="1"/>
  <c r="AA15" i="13" s="1"/>
  <c r="L16" i="13"/>
  <c r="L10" i="25"/>
  <c r="L19" i="25"/>
  <c r="O7" i="25"/>
  <c r="P7" i="25" s="1"/>
  <c r="O14" i="15"/>
  <c r="P14" i="15" s="1"/>
  <c r="L15" i="15"/>
  <c r="O12" i="14"/>
  <c r="P12" i="14" s="1"/>
  <c r="L13" i="14"/>
  <c r="L20" i="25"/>
  <c r="O8" i="25"/>
  <c r="P8" i="25" s="1"/>
  <c r="G14" i="13"/>
  <c r="G19" i="25"/>
  <c r="G10" i="25"/>
  <c r="O13" i="13"/>
  <c r="P13" i="13" s="1"/>
  <c r="AA13" i="13" s="1"/>
  <c r="L14" i="13"/>
  <c r="O8" i="24"/>
  <c r="P8" i="24" s="1"/>
  <c r="L20" i="24"/>
  <c r="O7" i="13"/>
  <c r="P7" i="13" s="1"/>
  <c r="L10" i="13"/>
  <c r="O14" i="14"/>
  <c r="P14" i="14" s="1"/>
  <c r="L15" i="14"/>
  <c r="G10" i="24"/>
  <c r="G19" i="24"/>
  <c r="I91" i="7"/>
  <c r="C97" i="7"/>
  <c r="G97" i="7"/>
  <c r="I96" i="7"/>
  <c r="G95" i="7"/>
  <c r="I94" i="7"/>
  <c r="J64" i="12"/>
  <c r="J68" i="12" s="1"/>
  <c r="J55" i="10"/>
  <c r="J56" i="10" s="1"/>
  <c r="K38" i="11"/>
  <c r="F97" i="7"/>
  <c r="O18" i="11"/>
  <c r="P18" i="11" s="1"/>
  <c r="K10" i="11"/>
  <c r="F95" i="7"/>
  <c r="K10" i="14"/>
  <c r="F92" i="7"/>
  <c r="F93" i="7" s="1"/>
  <c r="N15" i="13"/>
  <c r="Y15" i="13" s="1"/>
  <c r="X15" i="13"/>
  <c r="K11" i="13"/>
  <c r="C92" i="7"/>
  <c r="M10" i="13"/>
  <c r="N10" i="13" s="1"/>
  <c r="K10" i="15"/>
  <c r="G92" i="7"/>
  <c r="N13" i="13"/>
  <c r="Y13" i="13" s="1"/>
  <c r="X13" i="13"/>
  <c r="K34" i="11"/>
  <c r="K41" i="11"/>
  <c r="J7" i="22" s="1"/>
  <c r="C95" i="7"/>
  <c r="E92" i="7"/>
  <c r="E93" i="7" s="1"/>
  <c r="M10" i="25"/>
  <c r="N10" i="25" s="1"/>
  <c r="K21" i="25"/>
  <c r="K11" i="25"/>
  <c r="D92" i="7"/>
  <c r="K21" i="24"/>
  <c r="K11" i="24"/>
  <c r="I21" i="25"/>
  <c r="M10" i="24"/>
  <c r="N10" i="24" s="1"/>
  <c r="I3" i="22"/>
  <c r="I6" i="22"/>
  <c r="H11" i="25"/>
  <c r="H21" i="25"/>
  <c r="F21" i="25"/>
  <c r="E45" i="7"/>
  <c r="E46" i="7" s="1"/>
  <c r="F11" i="24"/>
  <c r="F21" i="24"/>
  <c r="D45" i="7"/>
  <c r="D46" i="7" s="1"/>
  <c r="E56" i="7"/>
  <c r="E57" i="7" s="1"/>
  <c r="I64" i="12"/>
  <c r="I68" i="12" s="1"/>
  <c r="D11" i="25"/>
  <c r="E21" i="7"/>
  <c r="E22" i="7" s="1"/>
  <c r="D11" i="24"/>
  <c r="D21" i="7"/>
  <c r="E11" i="24"/>
  <c r="D34" i="7"/>
  <c r="D68" i="7"/>
  <c r="I11" i="24"/>
  <c r="C11" i="25"/>
  <c r="E8" i="7"/>
  <c r="E9" i="7" s="1"/>
  <c r="C11" i="24"/>
  <c r="D8" i="7"/>
  <c r="E80" i="7"/>
  <c r="E81" i="7" s="1"/>
  <c r="J11" i="25"/>
  <c r="I11" i="25"/>
  <c r="E68" i="7"/>
  <c r="E69" i="7" s="1"/>
  <c r="E11" i="25"/>
  <c r="E34" i="7"/>
  <c r="E35" i="7" s="1"/>
  <c r="H11" i="24"/>
  <c r="D56" i="7"/>
  <c r="I74" i="12"/>
  <c r="I54" i="10"/>
  <c r="I55" i="10" s="1"/>
  <c r="I23" i="10"/>
  <c r="C201" i="9"/>
  <c r="J16" i="11"/>
  <c r="I4" i="22" s="1"/>
  <c r="P36" i="7"/>
  <c r="P34" i="7"/>
  <c r="P33" i="7"/>
  <c r="O9" i="15" l="1"/>
  <c r="P9" i="15" s="1"/>
  <c r="AB9" i="15"/>
  <c r="AC7" i="15"/>
  <c r="AD7" i="15" s="1"/>
  <c r="L10" i="15"/>
  <c r="O9" i="14"/>
  <c r="P9" i="14" s="1"/>
  <c r="AB13" i="15"/>
  <c r="V10" i="15"/>
  <c r="W9" i="15"/>
  <c r="X9" i="15" s="1"/>
  <c r="W14" i="15"/>
  <c r="X14" i="15" s="1"/>
  <c r="V15" i="15"/>
  <c r="AA15" i="15"/>
  <c r="AC14" i="15"/>
  <c r="AD14" i="15" s="1"/>
  <c r="AA13" i="15"/>
  <c r="AC12" i="15"/>
  <c r="AD12" i="15" s="1"/>
  <c r="Z13" i="13"/>
  <c r="O10" i="24"/>
  <c r="Z15" i="13"/>
  <c r="O10" i="13"/>
  <c r="P10" i="13" s="1"/>
  <c r="L11" i="13"/>
  <c r="L11" i="25"/>
  <c r="L21" i="25"/>
  <c r="O10" i="25"/>
  <c r="P10" i="25" s="1"/>
  <c r="I97" i="7"/>
  <c r="L11" i="24"/>
  <c r="L21" i="24"/>
  <c r="G21" i="25"/>
  <c r="G11" i="25"/>
  <c r="I95" i="7"/>
  <c r="G11" i="24"/>
  <c r="G21" i="24"/>
  <c r="C93" i="7"/>
  <c r="G93" i="7"/>
  <c r="I92" i="7"/>
  <c r="D93" i="7"/>
  <c r="J6" i="22"/>
  <c r="D12" i="26"/>
  <c r="I120" i="9"/>
  <c r="J3" i="22"/>
  <c r="D9" i="26"/>
  <c r="K16" i="11"/>
  <c r="I57" i="9"/>
  <c r="I162" i="9"/>
  <c r="I99" i="9"/>
  <c r="I78" i="9"/>
  <c r="I36" i="9"/>
  <c r="I141" i="9"/>
  <c r="D35" i="7"/>
  <c r="D22" i="7"/>
  <c r="D57" i="7"/>
  <c r="D9" i="7"/>
  <c r="D69" i="7"/>
  <c r="I56" i="10"/>
  <c r="J21" i="11"/>
  <c r="P38" i="7"/>
  <c r="AC9" i="15" l="1"/>
  <c r="AD9" i="15" s="1"/>
  <c r="AB10" i="15"/>
  <c r="D7" i="26"/>
  <c r="J4" i="22"/>
  <c r="K21" i="11"/>
  <c r="K23" i="11" s="1"/>
  <c r="K28" i="11" s="1"/>
  <c r="I93" i="7"/>
  <c r="J23" i="11"/>
  <c r="P23" i="7"/>
  <c r="P21" i="7"/>
  <c r="P20" i="7"/>
  <c r="J28" i="11" l="1"/>
  <c r="P25" i="7"/>
  <c r="P10" i="7" l="1"/>
  <c r="P8" i="7"/>
  <c r="P7" i="7"/>
  <c r="P12" i="7"/>
  <c r="H73" i="7" l="1"/>
  <c r="H71" i="7"/>
  <c r="H69" i="7"/>
  <c r="H35" i="7"/>
  <c r="H37" i="7"/>
  <c r="H39" i="7"/>
  <c r="P13" i="7"/>
  <c r="O13" i="7"/>
  <c r="N13" i="7"/>
  <c r="M13" i="7"/>
  <c r="L13" i="7"/>
  <c r="H13" i="7"/>
  <c r="H61" i="7"/>
  <c r="H59" i="7"/>
  <c r="H57" i="7"/>
  <c r="P50" i="7"/>
  <c r="O50" i="7"/>
  <c r="N50" i="7"/>
  <c r="M50" i="7"/>
  <c r="L50" i="7"/>
  <c r="H50" i="7"/>
  <c r="P48" i="7"/>
  <c r="O48" i="7"/>
  <c r="N48" i="7"/>
  <c r="M48" i="7"/>
  <c r="L48" i="7"/>
  <c r="H48" i="7"/>
  <c r="P46" i="7"/>
  <c r="O46" i="7"/>
  <c r="N46" i="7"/>
  <c r="M46" i="7"/>
  <c r="L46" i="7"/>
  <c r="H46" i="7"/>
  <c r="P39" i="7"/>
  <c r="O39" i="7"/>
  <c r="N39" i="7"/>
  <c r="M39" i="7"/>
  <c r="L39" i="7"/>
  <c r="P37" i="7"/>
  <c r="O37" i="7"/>
  <c r="N37" i="7"/>
  <c r="M37" i="7"/>
  <c r="L37" i="7"/>
  <c r="P35" i="7"/>
  <c r="O35" i="7"/>
  <c r="N35" i="7"/>
  <c r="M35" i="7"/>
  <c r="L35" i="7"/>
  <c r="P26" i="7"/>
  <c r="O26" i="7"/>
  <c r="N26" i="7"/>
  <c r="M26" i="7"/>
  <c r="L26" i="7"/>
  <c r="P24" i="7"/>
  <c r="O24" i="7"/>
  <c r="N24" i="7"/>
  <c r="M24" i="7"/>
  <c r="L24" i="7"/>
  <c r="P22" i="7"/>
  <c r="O22" i="7"/>
  <c r="N22" i="7"/>
  <c r="M22" i="7"/>
  <c r="L22" i="7"/>
  <c r="H22" i="7"/>
  <c r="H26" i="7"/>
  <c r="H24" i="7"/>
  <c r="P11" i="7"/>
  <c r="O11" i="7"/>
  <c r="N11" i="7"/>
  <c r="M11" i="7"/>
  <c r="L11" i="7"/>
  <c r="P9" i="7"/>
  <c r="O9" i="7"/>
  <c r="N9" i="7"/>
  <c r="M9" i="7"/>
  <c r="L9" i="7"/>
  <c r="H11" i="7"/>
  <c r="H9" i="7"/>
  <c r="N31" i="8"/>
  <c r="J33" i="8"/>
  <c r="J32" i="8"/>
  <c r="N32" i="8"/>
  <c r="J31" i="8"/>
  <c r="N30" i="8"/>
  <c r="J30" i="8"/>
  <c r="J29" i="8"/>
  <c r="N29" i="8"/>
  <c r="J26" i="8"/>
  <c r="G26" i="8"/>
  <c r="N25" i="8"/>
  <c r="N24" i="8"/>
  <c r="J24" i="8"/>
  <c r="J14" i="8"/>
  <c r="J13" i="8"/>
  <c r="J12" i="8"/>
  <c r="N12" i="8"/>
  <c r="N14" i="8"/>
  <c r="N6" i="8"/>
  <c r="J15" i="8"/>
  <c r="J11" i="8"/>
  <c r="J8" i="8"/>
  <c r="J6" i="8"/>
  <c r="N209" i="9"/>
  <c r="L209" i="9"/>
  <c r="Q181" i="9"/>
  <c r="P181" i="9"/>
  <c r="P180" i="9"/>
  <c r="Q179" i="9"/>
  <c r="P178" i="9"/>
  <c r="Q177" i="9"/>
  <c r="P177" i="9"/>
  <c r="N169" i="9"/>
  <c r="L169" i="9"/>
  <c r="Q167" i="9"/>
  <c r="P167" i="9"/>
  <c r="L232" i="9" s="1"/>
  <c r="M232" i="9" s="1"/>
  <c r="Q160" i="9"/>
  <c r="P160" i="9"/>
  <c r="P159" i="9"/>
  <c r="Q159" i="9"/>
  <c r="Q158" i="9"/>
  <c r="P158" i="9"/>
  <c r="P157" i="9"/>
  <c r="Q157" i="9"/>
  <c r="Q156" i="9"/>
  <c r="N148" i="9"/>
  <c r="Q146" i="9"/>
  <c r="P146" i="9"/>
  <c r="L231" i="9" s="1"/>
  <c r="M231" i="9" s="1"/>
  <c r="P139" i="9"/>
  <c r="P138" i="9"/>
  <c r="Q138" i="9"/>
  <c r="Q137" i="9"/>
  <c r="P137" i="9"/>
  <c r="Q136" i="9"/>
  <c r="P136" i="9"/>
  <c r="P135" i="9"/>
  <c r="N127" i="9"/>
  <c r="L127" i="9"/>
  <c r="Q125" i="9"/>
  <c r="P125" i="9"/>
  <c r="L230" i="9" s="1"/>
  <c r="M230" i="9" s="1"/>
  <c r="P118" i="9"/>
  <c r="Q117" i="9"/>
  <c r="P117" i="9"/>
  <c r="Q116" i="9"/>
  <c r="Q115" i="9"/>
  <c r="P115" i="9"/>
  <c r="P114" i="9"/>
  <c r="N106" i="9"/>
  <c r="L106" i="9"/>
  <c r="Q104" i="9"/>
  <c r="P104" i="9"/>
  <c r="L229" i="9" s="1"/>
  <c r="M229" i="9" s="1"/>
  <c r="Q97" i="9"/>
  <c r="Q96" i="9"/>
  <c r="P96" i="9"/>
  <c r="Q95" i="9"/>
  <c r="P94" i="9"/>
  <c r="N85" i="9"/>
  <c r="L85" i="9"/>
  <c r="Q83" i="9"/>
  <c r="P83" i="9"/>
  <c r="L228" i="9" s="1"/>
  <c r="M228" i="9" s="1"/>
  <c r="Q76" i="9"/>
  <c r="P76" i="9"/>
  <c r="P75" i="9"/>
  <c r="Q74" i="9"/>
  <c r="P74" i="9"/>
  <c r="P73" i="9"/>
  <c r="Q72" i="9"/>
  <c r="N64" i="9"/>
  <c r="L64" i="9"/>
  <c r="Q62" i="9"/>
  <c r="P62" i="9"/>
  <c r="L227" i="9" s="1"/>
  <c r="M227" i="9" s="1"/>
  <c r="Q55" i="9"/>
  <c r="P55" i="9"/>
  <c r="Q54" i="9"/>
  <c r="P53" i="9"/>
  <c r="Q51" i="9"/>
  <c r="P51" i="9"/>
  <c r="Q41" i="9"/>
  <c r="P41" i="9"/>
  <c r="L226" i="9" s="1"/>
  <c r="P34" i="9"/>
  <c r="Q33" i="9"/>
  <c r="P32" i="9"/>
  <c r="Q31" i="9"/>
  <c r="P31" i="9"/>
  <c r="P30" i="9"/>
  <c r="N22" i="9"/>
  <c r="L22" i="9"/>
  <c r="Q20" i="9"/>
  <c r="P20" i="9"/>
  <c r="L225" i="9" s="1"/>
  <c r="M225" i="9" s="1"/>
  <c r="Q12" i="9"/>
  <c r="P11" i="9"/>
  <c r="Q9" i="9"/>
  <c r="P9" i="9"/>
  <c r="E209" i="9"/>
  <c r="E212" i="9" s="1"/>
  <c r="C209" i="9"/>
  <c r="C212" i="9" s="1"/>
  <c r="E193" i="9"/>
  <c r="C193" i="9"/>
  <c r="H181" i="9"/>
  <c r="G180" i="9"/>
  <c r="H180" i="9"/>
  <c r="G179" i="9"/>
  <c r="H179" i="9"/>
  <c r="H178" i="9"/>
  <c r="E175" i="9"/>
  <c r="C175" i="9"/>
  <c r="E169" i="9"/>
  <c r="C169" i="9"/>
  <c r="H167" i="9"/>
  <c r="G167" i="9"/>
  <c r="C232" i="9" s="1"/>
  <c r="D232" i="9" s="1"/>
  <c r="E166" i="9"/>
  <c r="C166" i="9"/>
  <c r="H160" i="9"/>
  <c r="H159" i="9"/>
  <c r="G159" i="9"/>
  <c r="G158" i="9"/>
  <c r="H158" i="9"/>
  <c r="H157" i="9"/>
  <c r="E154" i="9"/>
  <c r="C154" i="9"/>
  <c r="E148" i="9"/>
  <c r="C148" i="9"/>
  <c r="H146" i="9"/>
  <c r="G146" i="9"/>
  <c r="E145" i="9"/>
  <c r="C145" i="9"/>
  <c r="H139" i="9"/>
  <c r="H138" i="9"/>
  <c r="G138" i="9"/>
  <c r="G137" i="9"/>
  <c r="H137" i="9"/>
  <c r="F137" i="9"/>
  <c r="H136" i="9"/>
  <c r="E133" i="9"/>
  <c r="C133" i="9"/>
  <c r="E127" i="9"/>
  <c r="C127" i="9"/>
  <c r="H125" i="9"/>
  <c r="G125" i="9"/>
  <c r="C230" i="9" s="1"/>
  <c r="D230" i="9" s="1"/>
  <c r="E124" i="9"/>
  <c r="C124" i="9"/>
  <c r="H118" i="9"/>
  <c r="H117" i="9"/>
  <c r="G117" i="9"/>
  <c r="G116" i="9"/>
  <c r="H116" i="9"/>
  <c r="H115" i="9"/>
  <c r="E112" i="9"/>
  <c r="C112" i="9"/>
  <c r="E106" i="9"/>
  <c r="C106" i="9"/>
  <c r="H104" i="9"/>
  <c r="G104" i="9"/>
  <c r="C229" i="9" s="1"/>
  <c r="D229" i="9" s="1"/>
  <c r="E103" i="9"/>
  <c r="C103" i="9"/>
  <c r="H97" i="9"/>
  <c r="H96" i="9"/>
  <c r="G96" i="9"/>
  <c r="G95" i="9"/>
  <c r="H95" i="9"/>
  <c r="H94" i="9"/>
  <c r="E91" i="9"/>
  <c r="C91" i="9"/>
  <c r="E85" i="9"/>
  <c r="C85" i="9"/>
  <c r="H83" i="9"/>
  <c r="G83" i="9"/>
  <c r="C228" i="9" s="1"/>
  <c r="D228" i="9" s="1"/>
  <c r="E82" i="9"/>
  <c r="C82" i="9"/>
  <c r="H76" i="9"/>
  <c r="H75" i="9"/>
  <c r="G75" i="9"/>
  <c r="G74" i="9"/>
  <c r="H74" i="9"/>
  <c r="H73" i="9"/>
  <c r="H72" i="9"/>
  <c r="E70" i="9"/>
  <c r="C70" i="9"/>
  <c r="E64" i="9"/>
  <c r="C64" i="9"/>
  <c r="H62" i="9"/>
  <c r="G62" i="9"/>
  <c r="C227" i="9" s="1"/>
  <c r="D227" i="9" s="1"/>
  <c r="E61" i="9"/>
  <c r="C61" i="9"/>
  <c r="H55" i="9"/>
  <c r="H54" i="9"/>
  <c r="G54" i="9"/>
  <c r="G53" i="9"/>
  <c r="H53" i="9"/>
  <c r="H52" i="9"/>
  <c r="H51" i="9"/>
  <c r="E49" i="9"/>
  <c r="C49" i="9"/>
  <c r="H41" i="9"/>
  <c r="G41" i="9"/>
  <c r="C226" i="9" s="1"/>
  <c r="D226" i="9" s="1"/>
  <c r="E40" i="9"/>
  <c r="C40" i="9"/>
  <c r="H34" i="9"/>
  <c r="H33" i="9"/>
  <c r="G33" i="9"/>
  <c r="H30" i="9"/>
  <c r="E28" i="9"/>
  <c r="C28" i="9"/>
  <c r="E22" i="9"/>
  <c r="H21" i="9"/>
  <c r="H20" i="9"/>
  <c r="G20" i="9"/>
  <c r="E19" i="9"/>
  <c r="C19" i="9"/>
  <c r="H12" i="9"/>
  <c r="H11" i="9"/>
  <c r="G11" i="9"/>
  <c r="E196" i="9"/>
  <c r="H8" i="9"/>
  <c r="L224" i="9" l="1"/>
  <c r="M224" i="9" s="1"/>
  <c r="M226" i="9"/>
  <c r="L233" i="9"/>
  <c r="C231" i="9"/>
  <c r="D231" i="9" s="1"/>
  <c r="C225" i="9"/>
  <c r="D225" i="9" s="1"/>
  <c r="M27" i="6"/>
  <c r="N27" i="6" s="1"/>
  <c r="C224" i="9"/>
  <c r="C43" i="9"/>
  <c r="N43" i="9"/>
  <c r="N210" i="9"/>
  <c r="E43" i="9"/>
  <c r="E210" i="9"/>
  <c r="E213" i="9" s="1"/>
  <c r="L43" i="9"/>
  <c r="L210" i="9"/>
  <c r="H106" i="9"/>
  <c r="C22" i="9"/>
  <c r="H22" i="9" s="1"/>
  <c r="Q21" i="9"/>
  <c r="G84" i="9"/>
  <c r="C242" i="9" s="1"/>
  <c r="D242" i="9" s="1"/>
  <c r="G63" i="9"/>
  <c r="C241" i="9" s="1"/>
  <c r="D241" i="9" s="1"/>
  <c r="G42" i="9"/>
  <c r="C240" i="9" s="1"/>
  <c r="D240" i="9" s="1"/>
  <c r="G33" i="8"/>
  <c r="G27" i="8"/>
  <c r="O78" i="9"/>
  <c r="O75" i="9"/>
  <c r="O74" i="9"/>
  <c r="O76" i="9"/>
  <c r="O72" i="9"/>
  <c r="O73" i="9"/>
  <c r="O99" i="9"/>
  <c r="O96" i="9"/>
  <c r="O94" i="9"/>
  <c r="O95" i="9"/>
  <c r="O97" i="9"/>
  <c r="O93" i="9"/>
  <c r="M183" i="9"/>
  <c r="M177" i="9"/>
  <c r="M179" i="9"/>
  <c r="M181" i="9"/>
  <c r="M180" i="9"/>
  <c r="M178" i="9"/>
  <c r="M14" i="9"/>
  <c r="M12" i="9"/>
  <c r="M8" i="9"/>
  <c r="M11" i="9"/>
  <c r="M10" i="9"/>
  <c r="M9" i="9"/>
  <c r="M57" i="9"/>
  <c r="M53" i="9"/>
  <c r="M51" i="9"/>
  <c r="M54" i="9"/>
  <c r="M55" i="9"/>
  <c r="M52" i="9"/>
  <c r="O57" i="9"/>
  <c r="O55" i="9"/>
  <c r="O51" i="9"/>
  <c r="O52" i="9"/>
  <c r="O53" i="9"/>
  <c r="O54" i="9"/>
  <c r="D138" i="9"/>
  <c r="F177" i="9"/>
  <c r="D180" i="9"/>
  <c r="D159" i="9"/>
  <c r="D117" i="9"/>
  <c r="F93" i="9"/>
  <c r="F74" i="9"/>
  <c r="F72" i="9"/>
  <c r="N26" i="8"/>
  <c r="N11" i="8"/>
  <c r="N7" i="8"/>
  <c r="N8" i="8" s="1"/>
  <c r="N9" i="8" s="1"/>
  <c r="G8" i="8"/>
  <c r="Q42" i="9"/>
  <c r="L148" i="9"/>
  <c r="Q148" i="9" s="1"/>
  <c r="P21" i="9"/>
  <c r="L239" i="9" s="1"/>
  <c r="M239" i="9" s="1"/>
  <c r="Q57" i="9"/>
  <c r="P57" i="9"/>
  <c r="Q64" i="9"/>
  <c r="P64" i="9"/>
  <c r="Q127" i="9"/>
  <c r="P127" i="9"/>
  <c r="Q169" i="9"/>
  <c r="P169" i="9"/>
  <c r="P106" i="9"/>
  <c r="Q106" i="9"/>
  <c r="Q196" i="9"/>
  <c r="P196" i="9"/>
  <c r="Q22" i="9"/>
  <c r="P22" i="9"/>
  <c r="P85" i="9"/>
  <c r="Q85" i="9"/>
  <c r="Q11" i="9"/>
  <c r="Q53" i="9"/>
  <c r="Q139" i="9"/>
  <c r="Q180" i="9"/>
  <c r="P10" i="9"/>
  <c r="Q32" i="9"/>
  <c r="P52" i="9"/>
  <c r="Q73" i="9"/>
  <c r="P93" i="9"/>
  <c r="P97" i="9"/>
  <c r="Q114" i="9"/>
  <c r="Q118" i="9"/>
  <c r="P179" i="9"/>
  <c r="P183" i="9"/>
  <c r="Q94" i="9"/>
  <c r="Q135" i="9"/>
  <c r="Q10" i="9"/>
  <c r="Q52" i="9"/>
  <c r="P72" i="9"/>
  <c r="Q93" i="9"/>
  <c r="Q178" i="9"/>
  <c r="P84" i="9"/>
  <c r="L242" i="9" s="1"/>
  <c r="M242" i="9" s="1"/>
  <c r="P116" i="9"/>
  <c r="P8" i="9"/>
  <c r="P12" i="9"/>
  <c r="Q30" i="9"/>
  <c r="Q34" i="9"/>
  <c r="P54" i="9"/>
  <c r="P63" i="9"/>
  <c r="L241" i="9" s="1"/>
  <c r="M241" i="9" s="1"/>
  <c r="Q75" i="9"/>
  <c r="Q84" i="9"/>
  <c r="P95" i="9"/>
  <c r="Q8" i="9"/>
  <c r="P33" i="9"/>
  <c r="P42" i="9"/>
  <c r="L240" i="9" s="1"/>
  <c r="Q63" i="9"/>
  <c r="P156" i="9"/>
  <c r="F114" i="9"/>
  <c r="F138" i="9"/>
  <c r="F141" i="9"/>
  <c r="F30" i="9"/>
  <c r="D95" i="9"/>
  <c r="H99" i="9"/>
  <c r="D96" i="9"/>
  <c r="G99" i="9"/>
  <c r="D99" i="9"/>
  <c r="F139" i="9"/>
  <c r="D179" i="9"/>
  <c r="H183" i="9"/>
  <c r="G183" i="9"/>
  <c r="D183" i="9"/>
  <c r="F117" i="9"/>
  <c r="F120" i="9"/>
  <c r="H196" i="9"/>
  <c r="G196" i="9"/>
  <c r="F36" i="9"/>
  <c r="F31" i="9"/>
  <c r="F34" i="9"/>
  <c r="F118" i="9"/>
  <c r="D158" i="9"/>
  <c r="D162" i="9"/>
  <c r="H64" i="9"/>
  <c r="G64" i="9"/>
  <c r="F96" i="9"/>
  <c r="F97" i="9"/>
  <c r="F99" i="9"/>
  <c r="H148" i="9"/>
  <c r="G148" i="9"/>
  <c r="F181" i="9"/>
  <c r="F32" i="9"/>
  <c r="H85" i="9"/>
  <c r="D137" i="9"/>
  <c r="H141" i="9"/>
  <c r="G141" i="9"/>
  <c r="D141" i="9"/>
  <c r="H169" i="9"/>
  <c r="F116" i="9"/>
  <c r="F180" i="9"/>
  <c r="F183" i="9"/>
  <c r="F95" i="9"/>
  <c r="H127" i="9"/>
  <c r="G127" i="9"/>
  <c r="F135" i="9"/>
  <c r="F179" i="9"/>
  <c r="F75" i="9"/>
  <c r="F78" i="9"/>
  <c r="F33" i="9"/>
  <c r="F76" i="9"/>
  <c r="D116" i="9"/>
  <c r="H120" i="9"/>
  <c r="G120" i="9"/>
  <c r="D120" i="9"/>
  <c r="D55" i="9"/>
  <c r="G10" i="9"/>
  <c r="E14" i="9"/>
  <c r="G32" i="9"/>
  <c r="H42" i="9"/>
  <c r="H63" i="9"/>
  <c r="H84" i="9"/>
  <c r="D94" i="9"/>
  <c r="D115" i="9"/>
  <c r="D136" i="9"/>
  <c r="D157" i="9"/>
  <c r="D178" i="9"/>
  <c r="H32" i="9"/>
  <c r="G9" i="9"/>
  <c r="G31" i="9"/>
  <c r="F73" i="9"/>
  <c r="D93" i="9"/>
  <c r="F94" i="9"/>
  <c r="D97" i="9"/>
  <c r="D114" i="9"/>
  <c r="F115" i="9"/>
  <c r="D118" i="9"/>
  <c r="D135" i="9"/>
  <c r="F136" i="9"/>
  <c r="D139" i="9"/>
  <c r="D156" i="9"/>
  <c r="D160" i="9"/>
  <c r="D177" i="9"/>
  <c r="F178" i="9"/>
  <c r="D181" i="9"/>
  <c r="E195" i="9"/>
  <c r="E199" i="9"/>
  <c r="C14" i="9"/>
  <c r="I14" i="9" s="1"/>
  <c r="H9" i="9"/>
  <c r="H31" i="9"/>
  <c r="G52" i="9"/>
  <c r="G73" i="9"/>
  <c r="G85" i="9"/>
  <c r="G94" i="9"/>
  <c r="G106" i="9"/>
  <c r="G115" i="9"/>
  <c r="G136" i="9"/>
  <c r="G157" i="9"/>
  <c r="G169" i="9"/>
  <c r="G178" i="9"/>
  <c r="H10" i="9"/>
  <c r="G12" i="9"/>
  <c r="G30" i="9"/>
  <c r="G34" i="9"/>
  <c r="E198" i="9"/>
  <c r="G8" i="9"/>
  <c r="G51" i="9"/>
  <c r="G55" i="9"/>
  <c r="G72" i="9"/>
  <c r="G76" i="9"/>
  <c r="G93" i="9"/>
  <c r="G97" i="9"/>
  <c r="G114" i="9"/>
  <c r="G118" i="9"/>
  <c r="G135" i="9"/>
  <c r="G139" i="9"/>
  <c r="G156" i="9"/>
  <c r="G160" i="9"/>
  <c r="G177" i="9"/>
  <c r="G181" i="9"/>
  <c r="H93" i="9"/>
  <c r="H114" i="9"/>
  <c r="H135" i="9"/>
  <c r="H156" i="9"/>
  <c r="H177" i="9"/>
  <c r="E197" i="9"/>
  <c r="L238" i="9" l="1"/>
  <c r="M238" i="9" s="1"/>
  <c r="M240" i="9"/>
  <c r="L247" i="9"/>
  <c r="L234" i="9"/>
  <c r="M233" i="9"/>
  <c r="M26" i="6"/>
  <c r="N26" i="6" s="1"/>
  <c r="C238" i="9"/>
  <c r="D224" i="9"/>
  <c r="C233" i="9"/>
  <c r="H43" i="9"/>
  <c r="G22" i="9"/>
  <c r="P43" i="9"/>
  <c r="Q43" i="9"/>
  <c r="G43" i="9"/>
  <c r="P148" i="9"/>
  <c r="G15" i="8"/>
  <c r="G9" i="8"/>
  <c r="N33" i="8"/>
  <c r="N27" i="8"/>
  <c r="M36" i="9"/>
  <c r="M31" i="9"/>
  <c r="M32" i="9"/>
  <c r="M34" i="9"/>
  <c r="M30" i="9"/>
  <c r="M33" i="9"/>
  <c r="M78" i="9"/>
  <c r="M74" i="9"/>
  <c r="M73" i="9"/>
  <c r="M76" i="9"/>
  <c r="M72" i="9"/>
  <c r="M75" i="9"/>
  <c r="O141" i="9"/>
  <c r="O139" i="9"/>
  <c r="O135" i="9"/>
  <c r="O136" i="9"/>
  <c r="O137" i="9"/>
  <c r="O138" i="9"/>
  <c r="O162" i="9"/>
  <c r="O158" i="9"/>
  <c r="O156" i="9"/>
  <c r="O159" i="9"/>
  <c r="O157" i="9"/>
  <c r="O160" i="9"/>
  <c r="M162" i="9"/>
  <c r="M159" i="9"/>
  <c r="M156" i="9"/>
  <c r="M158" i="9"/>
  <c r="M157" i="9"/>
  <c r="M160" i="9"/>
  <c r="M120" i="9"/>
  <c r="M114" i="9"/>
  <c r="M116" i="9"/>
  <c r="M117" i="9"/>
  <c r="M115" i="9"/>
  <c r="M118" i="9"/>
  <c r="M141" i="9"/>
  <c r="M136" i="9"/>
  <c r="M137" i="9"/>
  <c r="M138" i="9"/>
  <c r="M135" i="9"/>
  <c r="M139" i="9"/>
  <c r="O14" i="9"/>
  <c r="O12" i="9"/>
  <c r="O8" i="9"/>
  <c r="O11" i="9"/>
  <c r="O10" i="9"/>
  <c r="O9" i="9"/>
  <c r="O183" i="9"/>
  <c r="O178" i="9"/>
  <c r="O179" i="9"/>
  <c r="O177" i="9"/>
  <c r="O181" i="9"/>
  <c r="O180" i="9"/>
  <c r="O120" i="9"/>
  <c r="O114" i="9"/>
  <c r="O115" i="9"/>
  <c r="O117" i="9"/>
  <c r="O116" i="9"/>
  <c r="O118" i="9"/>
  <c r="O36" i="9"/>
  <c r="O30" i="9"/>
  <c r="O31" i="9"/>
  <c r="O33" i="9"/>
  <c r="O34" i="9"/>
  <c r="O32" i="9"/>
  <c r="M99" i="9"/>
  <c r="M94" i="9"/>
  <c r="M97" i="9"/>
  <c r="M96" i="9"/>
  <c r="M93" i="9"/>
  <c r="M95" i="9"/>
  <c r="D51" i="9"/>
  <c r="G162" i="9"/>
  <c r="F156" i="9"/>
  <c r="H162" i="9"/>
  <c r="F158" i="9"/>
  <c r="F160" i="9"/>
  <c r="F157" i="9"/>
  <c r="D73" i="9"/>
  <c r="F53" i="9"/>
  <c r="D31" i="9"/>
  <c r="D9" i="9"/>
  <c r="D10" i="9"/>
  <c r="N15" i="8"/>
  <c r="Q141" i="9"/>
  <c r="P141" i="9"/>
  <c r="Q78" i="9"/>
  <c r="P78" i="9"/>
  <c r="P99" i="9"/>
  <c r="Q99" i="9"/>
  <c r="Q198" i="9"/>
  <c r="P198" i="9"/>
  <c r="Q120" i="9"/>
  <c r="P120" i="9"/>
  <c r="L201" i="9"/>
  <c r="Q195" i="9"/>
  <c r="P195" i="9"/>
  <c r="Q197" i="9"/>
  <c r="P197" i="9"/>
  <c r="N201" i="9"/>
  <c r="Q199" i="9"/>
  <c r="P199" i="9"/>
  <c r="Q183" i="9"/>
  <c r="Q36" i="9"/>
  <c r="P36" i="9"/>
  <c r="Q162" i="9"/>
  <c r="P162" i="9"/>
  <c r="Q14" i="9"/>
  <c r="P14" i="9"/>
  <c r="H199" i="9"/>
  <c r="G199" i="9"/>
  <c r="D32" i="9"/>
  <c r="F55" i="9"/>
  <c r="H198" i="9"/>
  <c r="G198" i="9"/>
  <c r="D53" i="9"/>
  <c r="H57" i="9"/>
  <c r="D54" i="9"/>
  <c r="G57" i="9"/>
  <c r="D57" i="9"/>
  <c r="F54" i="9"/>
  <c r="F57" i="9"/>
  <c r="F14" i="9"/>
  <c r="F9" i="9"/>
  <c r="D74" i="9"/>
  <c r="H78" i="9"/>
  <c r="G78" i="9"/>
  <c r="D78" i="9"/>
  <c r="E201" i="9"/>
  <c r="D76" i="9"/>
  <c r="F10" i="9"/>
  <c r="D75" i="9"/>
  <c r="H197" i="9"/>
  <c r="G197" i="9"/>
  <c r="H195" i="9"/>
  <c r="G195" i="9"/>
  <c r="D52" i="9"/>
  <c r="F51" i="9"/>
  <c r="D36" i="9"/>
  <c r="D34" i="9"/>
  <c r="D30" i="9"/>
  <c r="H36" i="9"/>
  <c r="G36" i="9"/>
  <c r="F52" i="9"/>
  <c r="F11" i="9"/>
  <c r="D14" i="9"/>
  <c r="D12" i="9"/>
  <c r="H14" i="9"/>
  <c r="D8" i="9"/>
  <c r="G14" i="9"/>
  <c r="F12" i="9"/>
  <c r="D72" i="9"/>
  <c r="F159" i="9"/>
  <c r="F162" i="9"/>
  <c r="D11" i="9"/>
  <c r="D33" i="9"/>
  <c r="F8" i="9"/>
  <c r="I163" i="9" l="1"/>
  <c r="I121" i="9"/>
  <c r="I79" i="9"/>
  <c r="I100" i="9"/>
  <c r="I142" i="9"/>
  <c r="I58" i="9"/>
  <c r="I37" i="9"/>
  <c r="D233" i="9"/>
  <c r="C234" i="9"/>
  <c r="I15" i="9"/>
  <c r="L248" i="9"/>
  <c r="M247" i="9"/>
  <c r="D238" i="9"/>
  <c r="C247" i="9"/>
  <c r="M195" i="9"/>
  <c r="O198" i="9"/>
  <c r="F197" i="9"/>
  <c r="O195" i="9"/>
  <c r="M199" i="9"/>
  <c r="M197" i="9"/>
  <c r="M198" i="9"/>
  <c r="M201" i="9"/>
  <c r="M196" i="9"/>
  <c r="O201" i="9"/>
  <c r="O197" i="9"/>
  <c r="O196" i="9"/>
  <c r="O199" i="9"/>
  <c r="F199" i="9"/>
  <c r="F195" i="9"/>
  <c r="F198" i="9"/>
  <c r="D195" i="9"/>
  <c r="D197" i="9"/>
  <c r="Q201" i="9"/>
  <c r="P201" i="9"/>
  <c r="D201" i="9"/>
  <c r="H201" i="9"/>
  <c r="G201" i="9"/>
  <c r="D196" i="9"/>
  <c r="D199" i="9"/>
  <c r="F201" i="9"/>
  <c r="F196" i="9"/>
  <c r="D198" i="9"/>
  <c r="D247" i="9" l="1"/>
  <c r="C248" i="9"/>
  <c r="G72" i="7"/>
  <c r="F72" i="7"/>
  <c r="I72" i="7" l="1"/>
  <c r="F10" i="7"/>
  <c r="G10" i="7"/>
  <c r="F60" i="7" l="1"/>
  <c r="F49" i="7"/>
  <c r="F25" i="7"/>
  <c r="F12" i="7"/>
  <c r="F70" i="7"/>
  <c r="F58" i="7"/>
  <c r="F47" i="7"/>
  <c r="F23" i="7"/>
  <c r="G60" i="7" l="1"/>
  <c r="G49" i="7"/>
  <c r="G25" i="7"/>
  <c r="G12" i="7"/>
  <c r="G70" i="7"/>
  <c r="I70" i="7" s="1"/>
  <c r="G58" i="7"/>
  <c r="G47" i="7"/>
  <c r="G23" i="7"/>
  <c r="G67" i="7"/>
  <c r="G55" i="7"/>
  <c r="G44" i="7"/>
  <c r="G33" i="7"/>
  <c r="G20" i="7"/>
  <c r="G7" i="7"/>
  <c r="G11" i="7" l="1"/>
  <c r="G73" i="7"/>
  <c r="G71" i="7"/>
  <c r="G61" i="7"/>
  <c r="G59" i="7"/>
  <c r="G50" i="7"/>
  <c r="G48" i="7"/>
  <c r="G26" i="7"/>
  <c r="G24" i="7"/>
  <c r="G13" i="7"/>
  <c r="F15" i="15"/>
  <c r="D15" i="15"/>
  <c r="C15" i="15"/>
  <c r="I13" i="15"/>
  <c r="F13" i="15"/>
  <c r="C13" i="15"/>
  <c r="E9" i="15"/>
  <c r="H9" i="15"/>
  <c r="F9" i="15"/>
  <c r="M9" i="15" s="1"/>
  <c r="N9" i="15" s="1"/>
  <c r="D13" i="15"/>
  <c r="F67" i="7"/>
  <c r="F55" i="7"/>
  <c r="F20" i="7"/>
  <c r="F7" i="7"/>
  <c r="F73" i="7" l="1"/>
  <c r="F71" i="7"/>
  <c r="F26" i="7"/>
  <c r="F24" i="7"/>
  <c r="F11" i="7"/>
  <c r="F13" i="7"/>
  <c r="F59" i="7"/>
  <c r="F61" i="7"/>
  <c r="F9" i="14"/>
  <c r="M9" i="14" s="1"/>
  <c r="N9" i="14" s="1"/>
  <c r="F44" i="7"/>
  <c r="F15" i="14"/>
  <c r="F13" i="14"/>
  <c r="E9" i="14"/>
  <c r="F33" i="7"/>
  <c r="F10" i="15"/>
  <c r="G45" i="7"/>
  <c r="E10" i="15"/>
  <c r="G34" i="7"/>
  <c r="H10" i="15"/>
  <c r="G56" i="7"/>
  <c r="I15" i="15"/>
  <c r="D9" i="14"/>
  <c r="D13" i="14"/>
  <c r="D15" i="14"/>
  <c r="H9" i="14"/>
  <c r="H13" i="14"/>
  <c r="H15" i="14"/>
  <c r="I15" i="14"/>
  <c r="I13" i="14"/>
  <c r="C9" i="14"/>
  <c r="C13" i="14"/>
  <c r="C15" i="14"/>
  <c r="I9" i="14"/>
  <c r="H13" i="15"/>
  <c r="C9" i="15"/>
  <c r="H15" i="15"/>
  <c r="D9" i="15"/>
  <c r="I9" i="15"/>
  <c r="H20" i="13"/>
  <c r="L20" i="13" s="1"/>
  <c r="H19" i="13"/>
  <c r="L19" i="13" s="1"/>
  <c r="L21" i="13" s="1"/>
  <c r="L25" i="6"/>
  <c r="N25" i="6"/>
  <c r="M25" i="6"/>
  <c r="J25" i="6"/>
  <c r="L24" i="13" l="1"/>
  <c r="L25" i="13"/>
  <c r="G57" i="7"/>
  <c r="G68" i="7"/>
  <c r="D10" i="14"/>
  <c r="F21" i="7"/>
  <c r="I10" i="14"/>
  <c r="F68" i="7"/>
  <c r="H10" i="14"/>
  <c r="F56" i="7"/>
  <c r="G46" i="7"/>
  <c r="C10" i="14"/>
  <c r="F8" i="7"/>
  <c r="G35" i="7"/>
  <c r="F48" i="7"/>
  <c r="F50" i="7"/>
  <c r="F10" i="14"/>
  <c r="F45" i="7"/>
  <c r="D10" i="15"/>
  <c r="G21" i="7"/>
  <c r="C10" i="15"/>
  <c r="G8" i="7"/>
  <c r="E10" i="14"/>
  <c r="F34" i="7"/>
  <c r="I10" i="15"/>
  <c r="H21" i="13"/>
  <c r="G69" i="7" l="1"/>
  <c r="F69" i="7"/>
  <c r="F22" i="7"/>
  <c r="F35" i="7"/>
  <c r="F9" i="7"/>
  <c r="F46" i="7"/>
  <c r="F57" i="7"/>
  <c r="G9" i="7"/>
  <c r="G22" i="7"/>
  <c r="E21" i="13"/>
  <c r="D21" i="13"/>
  <c r="F21" i="13" l="1"/>
  <c r="C21" i="13"/>
  <c r="C24" i="13" s="1"/>
  <c r="K25" i="6" l="1"/>
  <c r="I21" i="13"/>
  <c r="E73" i="12" l="1"/>
  <c r="F73" i="12"/>
  <c r="F62" i="12" l="1"/>
  <c r="F51" i="12"/>
  <c r="F5" i="12"/>
  <c r="F21" i="12" s="1"/>
  <c r="F30" i="12" s="1"/>
  <c r="F34" i="12" s="1"/>
  <c r="E62" i="12"/>
  <c r="E51" i="12"/>
  <c r="E5" i="12"/>
  <c r="E21" i="12" l="1"/>
  <c r="E30" i="12" s="1"/>
  <c r="E34" i="12" s="1"/>
  <c r="E64" i="12" s="1"/>
  <c r="E68" i="12" s="1"/>
  <c r="F64" i="12"/>
  <c r="F68" i="12" s="1"/>
  <c r="D73" i="12" l="1"/>
  <c r="H73" i="12"/>
  <c r="G73" i="12"/>
  <c r="C5" i="12"/>
  <c r="C21" i="12" s="1"/>
  <c r="C30" i="12" s="1"/>
  <c r="C34" i="12" s="1"/>
  <c r="D5" i="12"/>
  <c r="D21" i="12" s="1"/>
  <c r="D30" i="12" s="1"/>
  <c r="D34" i="12" s="1"/>
  <c r="G5" i="12"/>
  <c r="G21" i="12" s="1"/>
  <c r="G30" i="12" s="1"/>
  <c r="G34" i="12" s="1"/>
  <c r="H51" i="12"/>
  <c r="G51" i="12"/>
  <c r="H62" i="12"/>
  <c r="G62" i="12"/>
  <c r="C51" i="12"/>
  <c r="D51" i="12"/>
  <c r="D62" i="12"/>
  <c r="C62" i="12"/>
  <c r="H5" i="12"/>
  <c r="H21" i="12" s="1"/>
  <c r="H30" i="12" s="1"/>
  <c r="H34" i="12" s="1"/>
  <c r="H64" i="12" l="1"/>
  <c r="H68" i="12" s="1"/>
  <c r="G64" i="12"/>
  <c r="G68" i="12" s="1"/>
  <c r="D64" i="12"/>
  <c r="D68" i="12" s="1"/>
  <c r="C64" i="12"/>
  <c r="C68" i="12" s="1"/>
  <c r="C52" i="10"/>
  <c r="D52" i="10"/>
  <c r="E52" i="10"/>
  <c r="C44" i="10"/>
  <c r="D44" i="10"/>
  <c r="E44" i="10"/>
  <c r="C35" i="10"/>
  <c r="D35" i="10"/>
  <c r="E35" i="10"/>
  <c r="C21" i="10"/>
  <c r="D21" i="10"/>
  <c r="E21" i="10"/>
  <c r="C15" i="10"/>
  <c r="D15" i="10"/>
  <c r="E15" i="10"/>
  <c r="G38" i="11"/>
  <c r="G42" i="11"/>
  <c r="G34" i="11"/>
  <c r="E41" i="11"/>
  <c r="E42" i="11"/>
  <c r="E38" i="11"/>
  <c r="E34" i="11"/>
  <c r="E7" i="22" l="1"/>
  <c r="E6" i="22"/>
  <c r="E10" i="11"/>
  <c r="E74" i="12"/>
  <c r="H44" i="10"/>
  <c r="H52" i="10"/>
  <c r="H35" i="10"/>
  <c r="F44" i="10"/>
  <c r="H21" i="10"/>
  <c r="F52" i="10"/>
  <c r="F15" i="10"/>
  <c r="F35" i="10"/>
  <c r="F21" i="10"/>
  <c r="H15" i="10"/>
  <c r="E54" i="10"/>
  <c r="E55" i="10" s="1"/>
  <c r="E23" i="10"/>
  <c r="D54" i="10"/>
  <c r="D55" i="10" s="1"/>
  <c r="D23" i="10"/>
  <c r="C54" i="10"/>
  <c r="C55" i="10" s="1"/>
  <c r="C23" i="10"/>
  <c r="G15" i="10"/>
  <c r="G21" i="10"/>
  <c r="G35" i="10"/>
  <c r="G44" i="10"/>
  <c r="G52" i="10"/>
  <c r="G41" i="11"/>
  <c r="G10" i="11"/>
  <c r="G16" i="11" s="1"/>
  <c r="F12" i="11"/>
  <c r="M12" i="11" l="1"/>
  <c r="N12" i="11" s="1"/>
  <c r="O12" i="11"/>
  <c r="P12" i="11" s="1"/>
  <c r="E3" i="22"/>
  <c r="E16" i="11"/>
  <c r="F54" i="10"/>
  <c r="F55" i="10" s="1"/>
  <c r="F23" i="10"/>
  <c r="G23" i="10"/>
  <c r="H54" i="10"/>
  <c r="H55" i="10" s="1"/>
  <c r="H23" i="10"/>
  <c r="G54" i="10"/>
  <c r="G55" i="10" s="1"/>
  <c r="E56" i="10"/>
  <c r="D56" i="10"/>
  <c r="C56" i="10"/>
  <c r="G21" i="11"/>
  <c r="G23" i="11" s="1"/>
  <c r="G28" i="11" s="1"/>
  <c r="H42" i="11"/>
  <c r="H41" i="11"/>
  <c r="G72" i="12"/>
  <c r="G74" i="12" s="1"/>
  <c r="C42" i="11"/>
  <c r="F27" i="11"/>
  <c r="C72" i="12"/>
  <c r="C74" i="12" s="1"/>
  <c r="D74" i="12"/>
  <c r="F22" i="11"/>
  <c r="G7" i="22" l="1"/>
  <c r="M22" i="11"/>
  <c r="N22" i="11" s="1"/>
  <c r="O22" i="11"/>
  <c r="P22" i="11" s="1"/>
  <c r="M27" i="11"/>
  <c r="O27" i="11"/>
  <c r="P27" i="11" s="1"/>
  <c r="E4" i="22"/>
  <c r="E21" i="11"/>
  <c r="E23" i="11" s="1"/>
  <c r="G56" i="10"/>
  <c r="F56" i="10"/>
  <c r="F9" i="11"/>
  <c r="H56" i="10"/>
  <c r="F8" i="11"/>
  <c r="F20" i="11"/>
  <c r="F15" i="11"/>
  <c r="F13" i="11"/>
  <c r="F37" i="11"/>
  <c r="F19" i="11"/>
  <c r="F11" i="11"/>
  <c r="F26" i="11"/>
  <c r="F14" i="11"/>
  <c r="D41" i="11"/>
  <c r="D7" i="22" s="1"/>
  <c r="F32" i="11"/>
  <c r="D42" i="11"/>
  <c r="F33" i="11"/>
  <c r="D38" i="11"/>
  <c r="F36" i="11"/>
  <c r="H10" i="11"/>
  <c r="H38" i="11"/>
  <c r="C34" i="11"/>
  <c r="H34" i="11"/>
  <c r="D10" i="11"/>
  <c r="C10" i="11"/>
  <c r="C38" i="11"/>
  <c r="D34" i="11"/>
  <c r="D6" i="22" s="1"/>
  <c r="C41" i="11"/>
  <c r="C7" i="22" s="1"/>
  <c r="M14" i="11" l="1"/>
  <c r="N14" i="11" s="1"/>
  <c r="O14" i="11"/>
  <c r="P14" i="11" s="1"/>
  <c r="F74" i="12"/>
  <c r="M8" i="11"/>
  <c r="N8" i="11" s="1"/>
  <c r="O8" i="11"/>
  <c r="P8" i="11" s="1"/>
  <c r="G3" i="22"/>
  <c r="M26" i="11"/>
  <c r="N26" i="11" s="1"/>
  <c r="O26" i="11"/>
  <c r="P26" i="11" s="1"/>
  <c r="M13" i="11"/>
  <c r="N13" i="11" s="1"/>
  <c r="O13" i="11"/>
  <c r="P13" i="11" s="1"/>
  <c r="F42" i="11"/>
  <c r="M42" i="11" s="1"/>
  <c r="N42" i="11" s="1"/>
  <c r="M33" i="11"/>
  <c r="N33" i="11" s="1"/>
  <c r="O33" i="11"/>
  <c r="P33" i="11" s="1"/>
  <c r="M36" i="11"/>
  <c r="N36" i="11" s="1"/>
  <c r="O36" i="11"/>
  <c r="P36" i="11" s="1"/>
  <c r="M32" i="11"/>
  <c r="N32" i="11" s="1"/>
  <c r="O32" i="11"/>
  <c r="P32" i="11" s="1"/>
  <c r="M11" i="11"/>
  <c r="N11" i="11" s="1"/>
  <c r="O11" i="11"/>
  <c r="P11" i="11" s="1"/>
  <c r="M15" i="11"/>
  <c r="N15" i="11" s="1"/>
  <c r="O15" i="11"/>
  <c r="P15" i="11" s="1"/>
  <c r="M9" i="11"/>
  <c r="N9" i="11" s="1"/>
  <c r="O9" i="11"/>
  <c r="P9" i="11" s="1"/>
  <c r="M37" i="11"/>
  <c r="O37" i="11"/>
  <c r="P37" i="11" s="1"/>
  <c r="M19" i="11"/>
  <c r="N19" i="11" s="1"/>
  <c r="O19" i="11"/>
  <c r="P19" i="11" s="1"/>
  <c r="M20" i="11"/>
  <c r="N20" i="11" s="1"/>
  <c r="O20" i="11"/>
  <c r="P20" i="11" s="1"/>
  <c r="G6" i="22"/>
  <c r="C6" i="22"/>
  <c r="D16" i="11"/>
  <c r="D3" i="22"/>
  <c r="C16" i="11"/>
  <c r="C4" i="22" s="1"/>
  <c r="C3" i="22"/>
  <c r="H16" i="11"/>
  <c r="E28" i="11"/>
  <c r="F10" i="11"/>
  <c r="F38" i="11"/>
  <c r="M38" i="11" s="1"/>
  <c r="N38" i="11" s="1"/>
  <c r="F34" i="11"/>
  <c r="E12" i="26" s="1"/>
  <c r="F41" i="11"/>
  <c r="E7" i="26" l="1"/>
  <c r="E9" i="26"/>
  <c r="F7" i="22"/>
  <c r="M41" i="11"/>
  <c r="N41" i="11" s="1"/>
  <c r="F9" i="26"/>
  <c r="M10" i="11"/>
  <c r="N10" i="11" s="1"/>
  <c r="F6" i="22"/>
  <c r="C12" i="26"/>
  <c r="M34" i="11"/>
  <c r="N34" i="11" s="1"/>
  <c r="G4" i="22"/>
  <c r="C21" i="11"/>
  <c r="C23" i="11" s="1"/>
  <c r="F16" i="11"/>
  <c r="M16" i="11" s="1"/>
  <c r="N16" i="11" s="1"/>
  <c r="F3" i="22"/>
  <c r="D21" i="11"/>
  <c r="D23" i="11" s="1"/>
  <c r="D4" i="22"/>
  <c r="H21" i="11"/>
  <c r="F7" i="26" l="1"/>
  <c r="C7" i="26"/>
  <c r="C9" i="26"/>
  <c r="F21" i="11"/>
  <c r="F4" i="22"/>
  <c r="H23" i="11"/>
  <c r="C28" i="11"/>
  <c r="D28" i="11"/>
  <c r="F23" i="11" l="1"/>
  <c r="M21" i="11"/>
  <c r="N21" i="11" s="1"/>
  <c r="H28" i="11"/>
  <c r="I41" i="11"/>
  <c r="O41" i="11" s="1"/>
  <c r="P41" i="11" s="1"/>
  <c r="F28" i="11" l="1"/>
  <c r="M28" i="11" s="1"/>
  <c r="N28" i="11" s="1"/>
  <c r="M23" i="11"/>
  <c r="N23" i="11" s="1"/>
  <c r="H7" i="22"/>
  <c r="I42" i="11"/>
  <c r="O42" i="11" s="1"/>
  <c r="P42" i="11" s="1"/>
  <c r="H74" i="12"/>
  <c r="I34" i="11"/>
  <c r="O34" i="11" l="1"/>
  <c r="P34" i="11" s="1"/>
  <c r="F12" i="26"/>
  <c r="H6" i="22"/>
  <c r="I10" i="11"/>
  <c r="O10" i="11" s="1"/>
  <c r="P10" i="11" s="1"/>
  <c r="I38" i="11"/>
  <c r="O38" i="11" s="1"/>
  <c r="P38" i="11" s="1"/>
  <c r="H3" i="22" l="1"/>
  <c r="I16" i="11"/>
  <c r="O16" i="11" s="1"/>
  <c r="P16" i="11" s="1"/>
  <c r="H4" i="22" l="1"/>
  <c r="I21" i="11"/>
  <c r="O21" i="11" s="1"/>
  <c r="P21" i="11" s="1"/>
  <c r="I23" i="11" l="1"/>
  <c r="O23" i="11" s="1"/>
  <c r="P23" i="11" s="1"/>
  <c r="I28" i="11" l="1"/>
  <c r="O28" i="11" s="1"/>
  <c r="P28" i="11" s="1"/>
  <c r="G27" i="6" l="1"/>
  <c r="G26" i="6"/>
  <c r="F25" i="6"/>
  <c r="E25" i="6"/>
  <c r="D25" i="6"/>
  <c r="C25" i="6"/>
  <c r="G22" i="6"/>
  <c r="G21" i="6"/>
  <c r="F20" i="6"/>
  <c r="E20" i="6"/>
  <c r="D20" i="6"/>
  <c r="C20" i="6"/>
  <c r="G17" i="6"/>
  <c r="G16" i="6"/>
  <c r="F15" i="6"/>
  <c r="E15" i="6"/>
  <c r="D15" i="6"/>
  <c r="C15" i="6"/>
  <c r="G12" i="6"/>
  <c r="G11" i="6"/>
  <c r="F10" i="6"/>
  <c r="E10" i="6"/>
  <c r="D10" i="6"/>
  <c r="C10" i="6"/>
  <c r="G7" i="6"/>
  <c r="G6" i="6"/>
  <c r="F5" i="6"/>
  <c r="E5" i="6"/>
  <c r="D5" i="6"/>
  <c r="C5" i="6"/>
  <c r="G20" i="6" l="1"/>
  <c r="G10" i="6"/>
  <c r="G25" i="6"/>
  <c r="G5" i="6"/>
  <c r="G15" i="6"/>
  <c r="F24" i="13" l="1"/>
  <c r="C44" i="7"/>
  <c r="F25" i="13"/>
  <c r="I44" i="7" l="1"/>
  <c r="T10" i="13"/>
  <c r="T11" i="13" l="1"/>
  <c r="C45" i="7"/>
  <c r="I45" i="7" l="1"/>
  <c r="I46" i="7" s="1"/>
  <c r="C46" i="7"/>
  <c r="C47" i="7"/>
  <c r="I47" i="7" s="1"/>
  <c r="I48" i="7" s="1"/>
  <c r="C48" i="7" l="1"/>
  <c r="C49" i="7"/>
  <c r="I49" i="7" s="1"/>
  <c r="I50" i="7" s="1"/>
  <c r="C50" i="7" l="1"/>
  <c r="C12" i="7" l="1"/>
  <c r="I12" i="7" s="1"/>
  <c r="H24" i="13" l="1"/>
  <c r="C55" i="7"/>
  <c r="C7" i="7"/>
  <c r="I7" i="7" l="1"/>
  <c r="I13" i="7" s="1"/>
  <c r="I55" i="7"/>
  <c r="C13" i="7"/>
  <c r="C25" i="13"/>
  <c r="C10" i="13" l="1"/>
  <c r="Q10" i="13" s="1"/>
  <c r="C11" i="13" l="1"/>
  <c r="Q11" i="13" s="1"/>
  <c r="C8" i="7"/>
  <c r="C10" i="7"/>
  <c r="I10" i="7" s="1"/>
  <c r="I8" i="7" l="1"/>
  <c r="I9" i="7" s="1"/>
  <c r="C11" i="7"/>
  <c r="I11" i="7"/>
  <c r="C9" i="7"/>
  <c r="H25" i="13"/>
  <c r="C58" i="7" l="1"/>
  <c r="I58" i="7" s="1"/>
  <c r="I59" i="7" s="1"/>
  <c r="H10" i="13"/>
  <c r="U10" i="13" s="1"/>
  <c r="C59" i="7" l="1"/>
  <c r="H11" i="13"/>
  <c r="U11" i="13" s="1"/>
  <c r="C56" i="7"/>
  <c r="C60" i="7"/>
  <c r="I60" i="7" s="1"/>
  <c r="I61" i="7" s="1"/>
  <c r="D25" i="13"/>
  <c r="I56" i="7" l="1"/>
  <c r="I57" i="7" s="1"/>
  <c r="C61" i="7"/>
  <c r="C57" i="7"/>
  <c r="D24" i="13"/>
  <c r="C20" i="7"/>
  <c r="D10" i="13"/>
  <c r="R10" i="13" s="1"/>
  <c r="I20" i="7" l="1"/>
  <c r="C25" i="7"/>
  <c r="I25" i="7" s="1"/>
  <c r="I26" i="7" s="1"/>
  <c r="D11" i="13"/>
  <c r="R11" i="13" s="1"/>
  <c r="C21" i="7"/>
  <c r="I21" i="7" l="1"/>
  <c r="I22" i="7" s="1"/>
  <c r="C22" i="7"/>
  <c r="C26" i="7"/>
  <c r="C23" i="7"/>
  <c r="I23" i="7" s="1"/>
  <c r="I24" i="7" s="1"/>
  <c r="I24" i="13" l="1"/>
  <c r="C67" i="7"/>
  <c r="C24" i="7"/>
  <c r="I25" i="13"/>
  <c r="I67" i="7" l="1"/>
  <c r="C71" i="7"/>
  <c r="C73" i="7"/>
  <c r="I10" i="13"/>
  <c r="V10" i="13" s="1"/>
  <c r="I73" i="7" l="1"/>
  <c r="I71" i="7"/>
  <c r="C68" i="7"/>
  <c r="I11" i="13"/>
  <c r="V11" i="13" s="1"/>
  <c r="I68" i="7" l="1"/>
  <c r="I69" i="7" s="1"/>
  <c r="C69" i="7"/>
  <c r="F80" i="9" l="1"/>
  <c r="F143" i="9"/>
  <c r="F122" i="9"/>
  <c r="H59" i="9"/>
  <c r="C17" i="9"/>
  <c r="F59" i="9"/>
  <c r="F164" i="9"/>
  <c r="F16" i="9" l="1"/>
  <c r="H122" i="9"/>
  <c r="G122" i="9"/>
  <c r="D122" i="9"/>
  <c r="O16" i="9"/>
  <c r="H16" i="9"/>
  <c r="G16" i="9"/>
  <c r="D16" i="9"/>
  <c r="H80" i="9"/>
  <c r="G80" i="9"/>
  <c r="D80" i="9"/>
  <c r="G59" i="9"/>
  <c r="D59" i="9"/>
  <c r="D38" i="9"/>
  <c r="H143" i="9"/>
  <c r="D143" i="9"/>
  <c r="G143" i="9"/>
  <c r="H164" i="9"/>
  <c r="G164" i="9"/>
  <c r="D164" i="9"/>
  <c r="E186" i="9"/>
  <c r="F38" i="9"/>
  <c r="N186" i="9"/>
  <c r="O101" i="9"/>
  <c r="O59" i="9"/>
  <c r="O143" i="9"/>
  <c r="F101" i="9"/>
  <c r="O122" i="9"/>
  <c r="O80" i="9"/>
  <c r="O38" i="9"/>
  <c r="O164" i="9"/>
  <c r="C203" i="9" l="1"/>
  <c r="Q59" i="9"/>
  <c r="P59" i="9"/>
  <c r="M59" i="9"/>
  <c r="G185" i="9"/>
  <c r="C186" i="9"/>
  <c r="H185" i="9"/>
  <c r="G38" i="9"/>
  <c r="N203" i="9"/>
  <c r="P38" i="9"/>
  <c r="Q38" i="9"/>
  <c r="M38" i="9"/>
  <c r="E203" i="9"/>
  <c r="P80" i="9"/>
  <c r="Q80" i="9"/>
  <c r="M80" i="9"/>
  <c r="H101" i="9"/>
  <c r="D101" i="9"/>
  <c r="G101" i="9"/>
  <c r="H38" i="9"/>
  <c r="Q164" i="9"/>
  <c r="P164" i="9"/>
  <c r="M164" i="9"/>
  <c r="L186" i="9"/>
  <c r="Q185" i="9"/>
  <c r="P185" i="9"/>
  <c r="P101" i="9"/>
  <c r="Q101" i="9"/>
  <c r="M101" i="9"/>
  <c r="Q143" i="9"/>
  <c r="P143" i="9"/>
  <c r="M143" i="9"/>
  <c r="L203" i="9"/>
  <c r="Q16" i="9"/>
  <c r="P16" i="9"/>
  <c r="M16" i="9"/>
  <c r="Q122" i="9"/>
  <c r="P122" i="9"/>
  <c r="M122" i="9"/>
  <c r="G203" i="9" l="1"/>
  <c r="H203" i="9"/>
  <c r="P203" i="9"/>
  <c r="Q203" i="9"/>
  <c r="G79" i="7" l="1"/>
  <c r="F79" i="7"/>
  <c r="J24" i="13" l="1"/>
  <c r="C79" i="7"/>
  <c r="J19" i="24"/>
  <c r="J9" i="14"/>
  <c r="J9" i="15"/>
  <c r="H81" i="7"/>
  <c r="I79" i="7" l="1"/>
  <c r="J10" i="14"/>
  <c r="F80" i="7"/>
  <c r="F81" i="7" s="1"/>
  <c r="G80" i="7"/>
  <c r="J10" i="15"/>
  <c r="H83" i="7"/>
  <c r="G81" i="7" l="1"/>
  <c r="H85" i="7"/>
  <c r="J13" i="14" l="1"/>
  <c r="F82" i="7"/>
  <c r="F83" i="7" l="1"/>
  <c r="J15" i="14"/>
  <c r="F84" i="7"/>
  <c r="F85" i="7" l="1"/>
  <c r="J25" i="13" l="1"/>
  <c r="J10" i="13"/>
  <c r="J20" i="24"/>
  <c r="J10" i="24"/>
  <c r="P10" i="24" s="1"/>
  <c r="D80" i="7" l="1"/>
  <c r="D81" i="7" s="1"/>
  <c r="J21" i="24"/>
  <c r="W10" i="13"/>
  <c r="J11" i="24"/>
  <c r="G82" i="7"/>
  <c r="J13" i="15"/>
  <c r="C80" i="7"/>
  <c r="J11" i="13"/>
  <c r="I80" i="7" l="1"/>
  <c r="I81" i="7" s="1"/>
  <c r="W11" i="13"/>
  <c r="G83" i="7"/>
  <c r="C82" i="7"/>
  <c r="I82" i="7" s="1"/>
  <c r="I83" i="7" s="1"/>
  <c r="C81" i="7"/>
  <c r="G84" i="7"/>
  <c r="J15" i="15"/>
  <c r="G85" i="7" l="1"/>
  <c r="C83" i="7"/>
  <c r="C84" i="7" l="1"/>
  <c r="I84" i="7" s="1"/>
  <c r="I85" i="7" s="1"/>
  <c r="C85" i="7" l="1"/>
  <c r="E20" i="24" l="1"/>
  <c r="E25" i="13"/>
  <c r="X8" i="13" l="1"/>
  <c r="Z8" i="13"/>
  <c r="Y8" i="13"/>
  <c r="AA8" i="13"/>
  <c r="G36" i="7"/>
  <c r="E13" i="15"/>
  <c r="G37" i="7" l="1"/>
  <c r="G38" i="7"/>
  <c r="E15" i="15"/>
  <c r="G39" i="7" l="1"/>
  <c r="F36" i="7" l="1"/>
  <c r="E13" i="14"/>
  <c r="F37" i="7" l="1"/>
  <c r="F38" i="7"/>
  <c r="E15" i="14"/>
  <c r="F39" i="7" l="1"/>
  <c r="E10" i="13" l="1"/>
  <c r="E24" i="13"/>
  <c r="C33" i="7"/>
  <c r="E19" i="24"/>
  <c r="I33" i="7" l="1"/>
  <c r="S10" i="13"/>
  <c r="Z7" i="13"/>
  <c r="X7" i="13"/>
  <c r="Y7" i="13"/>
  <c r="AA7" i="13"/>
  <c r="E11" i="13"/>
  <c r="S11" i="13" s="1"/>
  <c r="C34" i="7"/>
  <c r="I34" i="7" l="1"/>
  <c r="I35" i="7" s="1"/>
  <c r="Z10" i="13"/>
  <c r="X10" i="13"/>
  <c r="AA10" i="13"/>
  <c r="Y10" i="13"/>
  <c r="C35" i="7"/>
  <c r="C36" i="7"/>
  <c r="I36" i="7" s="1"/>
  <c r="I37" i="7" s="1"/>
  <c r="C37" i="7" l="1"/>
  <c r="C38" i="7" l="1"/>
  <c r="I38" i="7" s="1"/>
  <c r="I39" i="7" s="1"/>
  <c r="C39" i="7" l="1"/>
  <c r="N212" i="9" l="1"/>
  <c r="L212" i="9"/>
  <c r="N213" i="9"/>
  <c r="L213" i="9"/>
</calcChain>
</file>

<file path=xl/sharedStrings.xml><?xml version="1.0" encoding="utf-8"?>
<sst xmlns="http://schemas.openxmlformats.org/spreadsheetml/2006/main" count="1070" uniqueCount="321">
  <si>
    <t>Choose Currency:</t>
  </si>
  <si>
    <t>Investor Relations Contacts</t>
  </si>
  <si>
    <t>Nicolas Sibuet</t>
  </si>
  <si>
    <t>Chief Financial Officer</t>
  </si>
  <si>
    <t>InvestorRelations@aramex.com</t>
  </si>
  <si>
    <t>Anca Cighi</t>
  </si>
  <si>
    <t>Investor Relations Officer</t>
  </si>
  <si>
    <t>anca@aramex.com</t>
  </si>
  <si>
    <t>Aramex Data Book Contents</t>
  </si>
  <si>
    <t>Income Statement</t>
  </si>
  <si>
    <t>Balance Sheet</t>
  </si>
  <si>
    <t xml:space="preserve">Cashflow and Capex </t>
  </si>
  <si>
    <t xml:space="preserve">Aramex Courier Product </t>
  </si>
  <si>
    <t>Aramex Freight Product</t>
  </si>
  <si>
    <t>Aramex Logistics Product</t>
  </si>
  <si>
    <t>Regional Breakdown</t>
  </si>
  <si>
    <t xml:space="preserve">GP Reclassification 2020 </t>
  </si>
  <si>
    <t>Historic Product Breakdown Key Financials</t>
  </si>
  <si>
    <t xml:space="preserve">Historic Express Volume Data </t>
  </si>
  <si>
    <t xml:space="preserve">Income statement </t>
  </si>
  <si>
    <t>2022 Vs 2021</t>
  </si>
  <si>
    <t>Growth</t>
  </si>
  <si>
    <t>Q1 2021</t>
  </si>
  <si>
    <t>Q2 2021</t>
  </si>
  <si>
    <t>Q3 2021</t>
  </si>
  <si>
    <t>Q4 2021</t>
  </si>
  <si>
    <t>2021</t>
  </si>
  <si>
    <t>Q1 2022</t>
  </si>
  <si>
    <t>Q2 2022</t>
  </si>
  <si>
    <t>%</t>
  </si>
  <si>
    <t xml:space="preserve">Continuing operations </t>
  </si>
  <si>
    <t xml:space="preserve"> Rendering of services </t>
  </si>
  <si>
    <t xml:space="preserve"> Cost of services </t>
  </si>
  <si>
    <t>Gross Profit</t>
  </si>
  <si>
    <t xml:space="preserve"> Selling and marketing expenses</t>
  </si>
  <si>
    <t xml:space="preserve"> Net impairment loss on accounts receivable </t>
  </si>
  <si>
    <t xml:space="preserve"> Administrative expenses </t>
  </si>
  <si>
    <t xml:space="preserve"> Net Gain/(loss) on property damages and customer goods </t>
  </si>
  <si>
    <t xml:space="preserve"> Other income/-net</t>
  </si>
  <si>
    <t xml:space="preserve">Operating profit </t>
  </si>
  <si>
    <t xml:space="preserve"> Finance income</t>
  </si>
  <si>
    <t xml:space="preserve"> Finance expense</t>
  </si>
  <si>
    <t xml:space="preserve"> Share of results of joint ventures and associates </t>
  </si>
  <si>
    <t>Profit before tax from continuing operations</t>
  </si>
  <si>
    <t xml:space="preserve"> Income Tax</t>
  </si>
  <si>
    <t>Profit for the year from Continuing Operations</t>
  </si>
  <si>
    <t>Discontinued Operations</t>
  </si>
  <si>
    <t xml:space="preserve"> Profit after tax for the year from discontinued operations</t>
  </si>
  <si>
    <t xml:space="preserve"> Gain on sale of subsidiary </t>
  </si>
  <si>
    <t>Profit for the period</t>
  </si>
  <si>
    <t>Attributable to:</t>
  </si>
  <si>
    <t xml:space="preserve"> Equity holders of the parent </t>
  </si>
  <si>
    <t xml:space="preserve"> Profit for the year from continuing operations</t>
  </si>
  <si>
    <t xml:space="preserve"> Profit for the year  from discontinuing operations</t>
  </si>
  <si>
    <t xml:space="preserve">Non -controlling interest </t>
  </si>
  <si>
    <t xml:space="preserve"> Profit of the year from continuing operations</t>
  </si>
  <si>
    <t xml:space="preserve"> Profit of the year from discontinuing operations</t>
  </si>
  <si>
    <t>Earnings per share attributable to the equity holders of the parent:</t>
  </si>
  <si>
    <t xml:space="preserve"> Basic and diluted earnings per share from continuing operation </t>
  </si>
  <si>
    <t xml:space="preserve"> Basic and diluted earnings per share from discontinuing operation </t>
  </si>
  <si>
    <t>Dividends</t>
  </si>
  <si>
    <t xml:space="preserve">Dividends % of capital </t>
  </si>
  <si>
    <t xml:space="preserve">Dividends payout ratio </t>
  </si>
  <si>
    <t>Dividend per share (AED)</t>
  </si>
  <si>
    <t xml:space="preserve">Balance sheet </t>
  </si>
  <si>
    <t>Assets</t>
  </si>
  <si>
    <t>Q1'21</t>
  </si>
  <si>
    <t>Q2'21</t>
  </si>
  <si>
    <t>Q3'21</t>
  </si>
  <si>
    <t>Q4'21</t>
  </si>
  <si>
    <t>Q1'22</t>
  </si>
  <si>
    <t>Q2'22</t>
  </si>
  <si>
    <t xml:space="preserve"> Non-current assets </t>
  </si>
  <si>
    <t xml:space="preserve">  Property and equipment </t>
  </si>
  <si>
    <t xml:space="preserve">  Right of use assets </t>
  </si>
  <si>
    <t xml:space="preserve">  Goodwill </t>
  </si>
  <si>
    <t xml:space="preserve">  Other intangible assets </t>
  </si>
  <si>
    <t xml:space="preserve">  Investment in joint ventures and associates </t>
  </si>
  <si>
    <t xml:space="preserve">  Financial assets at fair value through  other comprehensive income </t>
  </si>
  <si>
    <t xml:space="preserve">  Deferred tax assets </t>
  </si>
  <si>
    <t xml:space="preserve">  Other non- current assets </t>
  </si>
  <si>
    <t xml:space="preserve"> Current assets </t>
  </si>
  <si>
    <t xml:space="preserve">  Account receivable , net </t>
  </si>
  <si>
    <t xml:space="preserve">  Other current assets </t>
  </si>
  <si>
    <t xml:space="preserve">  Restricted cash , margins and fixed deposits </t>
  </si>
  <si>
    <t xml:space="preserve">  Cash and cash equivalents </t>
  </si>
  <si>
    <t xml:space="preserve">Asset held for sale </t>
  </si>
  <si>
    <t xml:space="preserve">Total Assets </t>
  </si>
  <si>
    <t xml:space="preserve">Equity and liabilities </t>
  </si>
  <si>
    <t xml:space="preserve"> Share capital </t>
  </si>
  <si>
    <t xml:space="preserve"> Statutory reserve </t>
  </si>
  <si>
    <t xml:space="preserve"> Foreign currency translation reserve </t>
  </si>
  <si>
    <t xml:space="preserve"> Reserve arising from acquisition of non -controlling interest </t>
  </si>
  <si>
    <t xml:space="preserve"> Reserve arising from other comprehensive income items </t>
  </si>
  <si>
    <t xml:space="preserve"> Retained earnings </t>
  </si>
  <si>
    <t xml:space="preserve">Equity attributable to equity holders of the parent </t>
  </si>
  <si>
    <t xml:space="preserve"> Non-controlling interests </t>
  </si>
  <si>
    <t xml:space="preserve">Total Equity </t>
  </si>
  <si>
    <t xml:space="preserve">Liabilities </t>
  </si>
  <si>
    <t xml:space="preserve"> Non- current liabilities </t>
  </si>
  <si>
    <t xml:space="preserve">  Interset - bearing loans and borrowings </t>
  </si>
  <si>
    <t xml:space="preserve">  Lease liabilities </t>
  </si>
  <si>
    <t xml:space="preserve">  Employee's end of service benefits </t>
  </si>
  <si>
    <t xml:space="preserve">  Deferred tax liabitlities </t>
  </si>
  <si>
    <t xml:space="preserve">  Deferred income </t>
  </si>
  <si>
    <t xml:space="preserve">Current liabilities </t>
  </si>
  <si>
    <t xml:space="preserve">  Account payable </t>
  </si>
  <si>
    <t xml:space="preserve">  Bank overdrafts </t>
  </si>
  <si>
    <t xml:space="preserve">  Interest bearing loans and borrowings </t>
  </si>
  <si>
    <t xml:space="preserve">  Income Tax provsion </t>
  </si>
  <si>
    <t xml:space="preserve">  Other current liabilities </t>
  </si>
  <si>
    <t xml:space="preserve">Laibilities for sale </t>
  </si>
  <si>
    <t xml:space="preserve">Total liabilities </t>
  </si>
  <si>
    <t xml:space="preserve">Total Equity and liabilities </t>
  </si>
  <si>
    <t>OPERATING ACTIVITIES</t>
  </si>
  <si>
    <t>Profit before  tax from continuing operations</t>
  </si>
  <si>
    <t>Profit before  tax from discontinuing operations</t>
  </si>
  <si>
    <t>Profit before tax</t>
  </si>
  <si>
    <t>Adjustment for:</t>
  </si>
  <si>
    <t>Depreciation of property and equipment</t>
  </si>
  <si>
    <t>Depreciation of right of use assets</t>
  </si>
  <si>
    <t>Amortization of other intangible assets</t>
  </si>
  <si>
    <t xml:space="preserve"> Provision for employees’ end of service benefits</t>
  </si>
  <si>
    <t xml:space="preserve"> Net impairment loss on financial assets</t>
  </si>
  <si>
    <t xml:space="preserve"> Finance costs, net</t>
  </si>
  <si>
    <t xml:space="preserve"> Finance costs – lease liability</t>
  </si>
  <si>
    <t xml:space="preserve"> Share of results of joint ventures and associates</t>
  </si>
  <si>
    <t xml:space="preserve"> Impairment of goodwill</t>
  </si>
  <si>
    <t xml:space="preserve"> (Gain)/loss on sale of property and equipment</t>
  </si>
  <si>
    <t xml:space="preserve"> Gain on sale of a subsidiary</t>
  </si>
  <si>
    <t xml:space="preserve"> Gain on reversal of provision for property and customer goods</t>
  </si>
  <si>
    <t>Working capital adjustments:</t>
  </si>
  <si>
    <t xml:space="preserve"> Accounts receivable</t>
  </si>
  <si>
    <t xml:space="preserve"> Accounts payable</t>
  </si>
  <si>
    <t xml:space="preserve"> Other current assets</t>
  </si>
  <si>
    <t xml:space="preserve"> Other current liabilities</t>
  </si>
  <si>
    <t xml:space="preserve"> Deferred income</t>
  </si>
  <si>
    <t>Net cash flows generated from operating activities before employees’ end of service benefits and income tax paid</t>
  </si>
  <si>
    <t>Employees’ end of service benefits paid</t>
  </si>
  <si>
    <t>Income tax paid</t>
  </si>
  <si>
    <t>Net cash flows generated from operating activities</t>
  </si>
  <si>
    <t>INVESTING ACTIVITIES</t>
  </si>
  <si>
    <t>Purchase of property and equipment</t>
  </si>
  <si>
    <t>Proceeds from disposal of property and equipment</t>
  </si>
  <si>
    <t xml:space="preserve">Financial assets at fair value through other comprehensive income </t>
  </si>
  <si>
    <t>Interest received</t>
  </si>
  <si>
    <t xml:space="preserve">Net cash disposed from discontinued operations </t>
  </si>
  <si>
    <t>Proceeds from sale of a subsidiary</t>
  </si>
  <si>
    <t xml:space="preserve">Purchase of intangible assets </t>
  </si>
  <si>
    <t>Dividends from joint ventures</t>
  </si>
  <si>
    <t>Acquisition of a group of assets</t>
  </si>
  <si>
    <t>Other non-current assets</t>
  </si>
  <si>
    <t>Restricted cash*</t>
  </si>
  <si>
    <t xml:space="preserve">Margin deposits and fixed deposits </t>
  </si>
  <si>
    <t>Loan granted to joint venture</t>
  </si>
  <si>
    <t>Net cash flows generated from/(used in) investing activities</t>
  </si>
  <si>
    <t>FINANCING ACTIVITIES</t>
  </si>
  <si>
    <t>Finance cost paid</t>
  </si>
  <si>
    <t>Proceeds from loans and borrowings</t>
  </si>
  <si>
    <t>Repayment of loans and borrowings</t>
  </si>
  <si>
    <t>Principal elements of lease payments</t>
  </si>
  <si>
    <t>Dividends paid to non-controlling interests</t>
  </si>
  <si>
    <t>Directors’ fees paid</t>
  </si>
  <si>
    <t>Dividends paid to shareholders</t>
  </si>
  <si>
    <t>Net cash flows used in financing activities</t>
  </si>
  <si>
    <t>NET (DECREASE)/INCREASE IN CASH AND CASH EQUIVALENTS</t>
  </si>
  <si>
    <t>Net foreign exchange difference</t>
  </si>
  <si>
    <t>Cash and cash equivalents at 1 January</t>
  </si>
  <si>
    <t>CASH AND CASH EQUIVALENTS AT 31 DECEMBER</t>
  </si>
  <si>
    <t>Mar YTD '21</t>
  </si>
  <si>
    <t>Jun YTD'21</t>
  </si>
  <si>
    <t>Sep YTD'21</t>
  </si>
  <si>
    <t>Dec YTD'21</t>
  </si>
  <si>
    <t>Mar YTD'22</t>
  </si>
  <si>
    <t>Jun YTD'22</t>
  </si>
  <si>
    <t>Revenue</t>
  </si>
  <si>
    <t>Capex</t>
  </si>
  <si>
    <t>Capex / Revenue</t>
  </si>
  <si>
    <t xml:space="preserve">Total Direct Cost </t>
  </si>
  <si>
    <t xml:space="preserve">Gross Profit </t>
  </si>
  <si>
    <t>GP%</t>
  </si>
  <si>
    <t>EBIT</t>
  </si>
  <si>
    <t>EBIT%</t>
  </si>
  <si>
    <t>EBITDA</t>
  </si>
  <si>
    <t>EBITDA%</t>
  </si>
  <si>
    <t>Volumes</t>
  </si>
  <si>
    <t>DOM Express</t>
  </si>
  <si>
    <t>Int'l Express</t>
  </si>
  <si>
    <t>Total Courier Volumes</t>
  </si>
  <si>
    <t>Per shipment</t>
  </si>
  <si>
    <t>Average revenue per shipment Courier</t>
  </si>
  <si>
    <t>Average cost per shipment Courier</t>
  </si>
  <si>
    <t>MENAT</t>
  </si>
  <si>
    <t>Africa (East &amp; South)</t>
  </si>
  <si>
    <t>Europe</t>
  </si>
  <si>
    <t>America</t>
  </si>
  <si>
    <t>Oceania</t>
  </si>
  <si>
    <t>Others</t>
  </si>
  <si>
    <t>L/F # of FTL</t>
  </si>
  <si>
    <t>L/F # of LTL Kgs</t>
  </si>
  <si>
    <t>S/F # of FCL TEU</t>
  </si>
  <si>
    <t>S/F # of LCL CBM</t>
  </si>
  <si>
    <t>A/F # of Kgs</t>
  </si>
  <si>
    <t>Actual</t>
  </si>
  <si>
    <t>VAR</t>
  </si>
  <si>
    <t>Express + SnS</t>
  </si>
  <si>
    <t>Domestic</t>
  </si>
  <si>
    <t xml:space="preserve">Freight Forwarding  </t>
  </si>
  <si>
    <t>Logistics</t>
  </si>
  <si>
    <t xml:space="preserve">Other </t>
  </si>
  <si>
    <t>Total Revenue</t>
  </si>
  <si>
    <t>Volumes are in abosulte figures- not rounded</t>
  </si>
  <si>
    <t>Gulf</t>
  </si>
  <si>
    <t>North Asia</t>
  </si>
  <si>
    <t>South Asia</t>
  </si>
  <si>
    <t>Total</t>
  </si>
  <si>
    <t xml:space="preserve">Total  Volumes </t>
  </si>
  <si>
    <t>Express +SnS</t>
  </si>
  <si>
    <t>Year 2019</t>
  </si>
  <si>
    <t>Before GP Reclassification</t>
  </si>
  <si>
    <t>After GP Reclassification</t>
  </si>
  <si>
    <t xml:space="preserve">Total Revenues </t>
  </si>
  <si>
    <t xml:space="preserve">Less:Cost of Services </t>
  </si>
  <si>
    <t>GP %</t>
  </si>
  <si>
    <t xml:space="preserve">Less: Operating expenses </t>
  </si>
  <si>
    <t>Less: SG&amp;A Expenses</t>
  </si>
  <si>
    <t xml:space="preserve">Net impairment loss on account receivables </t>
  </si>
  <si>
    <t xml:space="preserve">Net impairment loss on bank balances </t>
  </si>
  <si>
    <t xml:space="preserve">Other income /Expense </t>
  </si>
  <si>
    <t xml:space="preserve">Operating Profit </t>
  </si>
  <si>
    <t>Year 2020</t>
  </si>
  <si>
    <t>Aramex Historic Revenues by Product Segment 2020 - 2022</t>
  </si>
  <si>
    <t>Q1 2020</t>
  </si>
  <si>
    <t xml:space="preserve">Courier </t>
  </si>
  <si>
    <t xml:space="preserve">Freight </t>
  </si>
  <si>
    <t xml:space="preserve">Logistics </t>
  </si>
  <si>
    <t xml:space="preserve">Other Services </t>
  </si>
  <si>
    <t>Revenues</t>
  </si>
  <si>
    <t xml:space="preserve">EBIT </t>
  </si>
  <si>
    <t>Q2 2020</t>
  </si>
  <si>
    <t>Q3 2020</t>
  </si>
  <si>
    <t>Q4 2020</t>
  </si>
  <si>
    <t>Aramex Historic Express Revenues and Volumes 2018 - 2022</t>
  </si>
  <si>
    <t>1st Qrt'18</t>
  </si>
  <si>
    <t>2nd Qrt'18</t>
  </si>
  <si>
    <t>3rd Qrt'18</t>
  </si>
  <si>
    <t>4th Qrt'18</t>
  </si>
  <si>
    <t>Full year 2018</t>
  </si>
  <si>
    <t>Shipment Volumes (In Millions)</t>
  </si>
  <si>
    <t>Total Revenue International &amp; Domestic Express Revenue</t>
  </si>
  <si>
    <t>Total International &amp; Domestic Express Volume</t>
  </si>
  <si>
    <t>International Express+ SnS</t>
  </si>
  <si>
    <t>International Express</t>
  </si>
  <si>
    <t>Domestic Revenue</t>
  </si>
  <si>
    <t>Domestic Express</t>
  </si>
  <si>
    <t>1st Qrt'19</t>
  </si>
  <si>
    <t>2nd Qrt'19</t>
  </si>
  <si>
    <t>3rd Qrt'19</t>
  </si>
  <si>
    <t>4th Qrt'19</t>
  </si>
  <si>
    <t>Full year 2019</t>
  </si>
  <si>
    <t>1st Qrt'20</t>
  </si>
  <si>
    <t>2nd Qrt'20</t>
  </si>
  <si>
    <t>3rd Qrt'20</t>
  </si>
  <si>
    <t>4th Qrt'20</t>
  </si>
  <si>
    <t>Full year 2020</t>
  </si>
  <si>
    <t>1st Qrt'21</t>
  </si>
  <si>
    <t>2nd Qrt'21</t>
  </si>
  <si>
    <t>3rd Qrt'21</t>
  </si>
  <si>
    <t>4th Qrt'21</t>
  </si>
  <si>
    <t>Full year 2021</t>
  </si>
  <si>
    <t>1st Qrt'22</t>
  </si>
  <si>
    <t>2nd Qrt'22</t>
  </si>
  <si>
    <t>3rd Qrt'22</t>
  </si>
  <si>
    <t>4th Qrt'2</t>
  </si>
  <si>
    <t>Full year 2022</t>
  </si>
  <si>
    <t>Q3 2022</t>
  </si>
  <si>
    <t>Q3'22</t>
  </si>
  <si>
    <t>SepYTD'22</t>
  </si>
  <si>
    <t>Key Figures and Ratios</t>
  </si>
  <si>
    <t>Gross Profit Margin %</t>
  </si>
  <si>
    <t>EBIT %</t>
  </si>
  <si>
    <t>Net Profit Margin %</t>
  </si>
  <si>
    <t>Debt/Equity %</t>
  </si>
  <si>
    <t>Debt to Equity (Excluding IFRS 16)</t>
  </si>
  <si>
    <t xml:space="preserve">EPS (AED)from continuing operation </t>
  </si>
  <si>
    <t>Express+SNS</t>
  </si>
  <si>
    <t>Average revenue per shipment Express+SNS</t>
  </si>
  <si>
    <t>Average cost per shipment Express+SNS</t>
  </si>
  <si>
    <t>Total Int'l ExpressVolumes</t>
  </si>
  <si>
    <t>DecYTD'21</t>
  </si>
  <si>
    <t>Sep YTD'22</t>
  </si>
  <si>
    <t>Average GP per shipment Express+SNS</t>
  </si>
  <si>
    <t>Mar YTD'21</t>
  </si>
  <si>
    <t>Domestic Volumes</t>
  </si>
  <si>
    <t>Express Volumes</t>
  </si>
  <si>
    <t xml:space="preserve">GP </t>
  </si>
  <si>
    <t xml:space="preserve">Normalised GP </t>
  </si>
  <si>
    <t>Normalised GP %</t>
  </si>
  <si>
    <t xml:space="preserve">Net Income </t>
  </si>
  <si>
    <t>Normalised NI</t>
  </si>
  <si>
    <t>Normalised NI%</t>
  </si>
  <si>
    <t xml:space="preserve">Revenue </t>
  </si>
  <si>
    <t xml:space="preserve">Normalised Revenue  </t>
  </si>
  <si>
    <t>Q4 2022</t>
  </si>
  <si>
    <t>Q4 22 vs Q4 21</t>
  </si>
  <si>
    <t>Dec YTD 2022 vs Dec YTD 2021</t>
  </si>
  <si>
    <t>Q4'22</t>
  </si>
  <si>
    <t>DecYTD'22</t>
  </si>
  <si>
    <t xml:space="preserve">Q4'22 vs Q4'21 </t>
  </si>
  <si>
    <t>Dec YTD'22 vs Dec YTD'21</t>
  </si>
  <si>
    <t>Dec YTD 2022</t>
  </si>
  <si>
    <t>Dec YTD 2021</t>
  </si>
  <si>
    <t>4th Qrt'22</t>
  </si>
  <si>
    <t>Dec YTD'22</t>
  </si>
  <si>
    <t>2022</t>
  </si>
  <si>
    <t>Payment for Acquisition of Subsidery, Net of cash aquired</t>
  </si>
  <si>
    <t>USD</t>
  </si>
  <si>
    <t xml:space="preserve"> IR Data Book 2021 - 2022</t>
  </si>
  <si>
    <t>Q4 2022 and FY 2022</t>
  </si>
  <si>
    <t>FY 22 vs FY 21</t>
  </si>
  <si>
    <t>Normalizations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</si>
</sst>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_);_(* \(#,##0\);_(* &quot;-&quot;??_);_(@_)"/>
    <numFmt numFmtId="165" formatCode="_(* #,##0.0_);_(* \(#,##0.0\);_(* &quot;-&quot;??_);_(@_)"/>
    <numFmt numFmtId="166" formatCode="0%;[Red]\(0%\)"/>
    <numFmt numFmtId="167" formatCode="0.0%_);[Red]\(0.0%\)"/>
    <numFmt numFmtId="168" formatCode="0.0"/>
    <numFmt numFmtId="169" formatCode="#,##0;\(#,##0\)"/>
    <numFmt numFmtId="170" formatCode="0%_);[Red]\(0%\)"/>
    <numFmt numFmtId="171" formatCode="0.0%"/>
    <numFmt numFmtId="172" formatCode="0.000"/>
    <numFmt numFmtId="173" formatCode="#,##0.000_);[Red]\(#,##0.000\)"/>
    <numFmt numFmtId="174" formatCode="#,##0.0_);[Red]\(#,##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0"/>
      <color rgb="FFFFFFFF"/>
      <name val="Calibri"/>
      <family val="2"/>
      <scheme val="minor"/>
    </font>
    <font>
      <sz val="10"/>
      <color rgb="FF000000"/>
      <name val="Calibri"/>
      <family val="2"/>
      <scheme val="minor"/>
    </font>
    <font>
      <b/>
      <sz val="11"/>
      <color theme="1"/>
      <name val="Calibri"/>
      <family val="2"/>
      <scheme val="minor"/>
    </font>
    <font>
      <sz val="40"/>
      <color theme="1"/>
      <name val="Calibri"/>
      <family val="2"/>
      <scheme val="minor"/>
    </font>
    <font>
      <u/>
      <sz val="10"/>
      <color theme="10"/>
      <name val="Arial"/>
      <family val="2"/>
    </font>
    <font>
      <b/>
      <u/>
      <sz val="10"/>
      <color rgb="FFFFFFFF"/>
      <name val="Calibri"/>
      <family val="2"/>
      <scheme val="minor"/>
    </font>
    <font>
      <sz val="10"/>
      <color rgb="FFFFFFFF"/>
      <name val="Calibri"/>
      <family val="2"/>
      <scheme val="minor"/>
    </font>
    <font>
      <i/>
      <sz val="10"/>
      <name val="Calibri"/>
      <family val="2"/>
      <scheme val="minor"/>
    </font>
    <font>
      <sz val="10"/>
      <color theme="0"/>
      <name val="Calibri"/>
      <family val="2"/>
      <scheme val="minor"/>
    </font>
    <font>
      <b/>
      <u/>
      <sz val="10"/>
      <color rgb="FF000000"/>
      <name val="Calibri"/>
      <family val="2"/>
      <scheme val="minor"/>
    </font>
    <font>
      <b/>
      <sz val="10"/>
      <color rgb="FF000000"/>
      <name val="Calibri"/>
      <family val="2"/>
      <scheme val="minor"/>
    </font>
    <font>
      <sz val="10"/>
      <color theme="1"/>
      <name val="Calibri"/>
      <family val="2"/>
      <scheme val="minor"/>
    </font>
    <font>
      <sz val="10"/>
      <color rgb="FFFF0000"/>
      <name val="Calibri"/>
      <family val="2"/>
      <scheme val="minor"/>
    </font>
    <font>
      <sz val="11"/>
      <color rgb="FF000000"/>
      <name val="Calibri"/>
      <family val="2"/>
      <scheme val="minor"/>
    </font>
    <font>
      <sz val="9"/>
      <color rgb="FF333333"/>
      <name val="Calibri"/>
      <family val="2"/>
      <scheme val="minor"/>
    </font>
    <font>
      <b/>
      <sz val="8"/>
      <color rgb="FF333333"/>
      <name val="Calibri"/>
      <family val="2"/>
      <scheme val="minor"/>
    </font>
    <font>
      <i/>
      <sz val="9"/>
      <color rgb="FF000000"/>
      <name val="Calibri"/>
      <family val="2"/>
      <scheme val="minor"/>
    </font>
    <font>
      <b/>
      <sz val="11"/>
      <color rgb="FF000000"/>
      <name val="Calibri"/>
      <family val="2"/>
      <scheme val="minor"/>
    </font>
    <font>
      <b/>
      <sz val="12"/>
      <name val="Calibri"/>
      <family val="2"/>
      <scheme val="minor"/>
    </font>
    <font>
      <sz val="11"/>
      <name val="Calibri"/>
      <family val="2"/>
      <scheme val="minor"/>
    </font>
    <font>
      <b/>
      <sz val="11"/>
      <name val="Calibri"/>
      <family val="2"/>
      <scheme val="minor"/>
    </font>
    <font>
      <i/>
      <sz val="10"/>
      <color rgb="FF000000"/>
      <name val="Calibri"/>
      <family val="2"/>
      <scheme val="minor"/>
    </font>
    <font>
      <sz val="9"/>
      <color rgb="FFFF0000"/>
      <name val="Calibri"/>
      <family val="2"/>
      <scheme val="minor"/>
    </font>
    <font>
      <b/>
      <sz val="10"/>
      <color theme="0"/>
      <name val="Calibri"/>
      <family val="2"/>
      <scheme val="minor"/>
    </font>
    <font>
      <sz val="10"/>
      <color rgb="FF1F497D"/>
      <name val="Calibri"/>
      <family val="2"/>
      <scheme val="minor"/>
    </font>
    <font>
      <u/>
      <sz val="10"/>
      <color theme="10"/>
      <name val="Calibri"/>
      <family val="2"/>
      <scheme val="minor"/>
    </font>
    <font>
      <b/>
      <sz val="11"/>
      <color rgb="FF333333"/>
      <name val="Calibri"/>
      <family val="2"/>
      <scheme val="minor"/>
    </font>
    <font>
      <i/>
      <sz val="11"/>
      <color rgb="FF000000"/>
      <name val="Calibri"/>
      <family val="2"/>
      <scheme val="minor"/>
    </font>
    <font>
      <b/>
      <sz val="10"/>
      <color rgb="FF333333"/>
      <name val="Calibri"/>
      <family val="2"/>
      <scheme val="minor"/>
    </font>
    <font>
      <b/>
      <sz val="11"/>
      <name val="Calibri"/>
      <family val="2"/>
    </font>
    <font>
      <b/>
      <sz val="10"/>
      <color rgb="FFFF0000"/>
      <name val="Calibri"/>
      <family val="2"/>
      <scheme val="minor"/>
    </font>
  </fonts>
  <fills count="18">
    <fill>
      <patternFill patternType="none"/>
    </fill>
    <fill>
      <patternFill patternType="gray125"/>
    </fill>
    <fill>
      <patternFill patternType="solid">
        <fgColor rgb="FFFFFFFF"/>
        <bgColor indexed="64"/>
      </patternFill>
    </fill>
    <fill>
      <patternFill patternType="solid">
        <fgColor rgb="FFF0F0F0"/>
        <bgColor indexed="64"/>
      </patternFill>
    </fill>
    <fill>
      <patternFill patternType="solid">
        <fgColor theme="0"/>
        <bgColor indexed="64"/>
      </patternFill>
    </fill>
    <fill>
      <patternFill patternType="solid">
        <fgColor rgb="FFE60000"/>
        <bgColor rgb="FF000000"/>
      </patternFill>
    </fill>
    <fill>
      <patternFill patternType="solid">
        <fgColor rgb="FFE60000"/>
        <bgColor rgb="FFFFFFFF"/>
      </patternFill>
    </fill>
    <fill>
      <patternFill patternType="solid">
        <fgColor rgb="FFFFFFFF"/>
        <bgColor rgb="FFFFFFFF"/>
      </patternFill>
    </fill>
    <fill>
      <patternFill patternType="solid">
        <fgColor rgb="FFD9D9D9"/>
        <bgColor rgb="FF000000"/>
      </patternFill>
    </fill>
    <fill>
      <patternFill patternType="solid">
        <fgColor rgb="FFD9D9D9"/>
        <bgColor rgb="FFFFFFFF"/>
      </patternFill>
    </fill>
    <fill>
      <patternFill patternType="solid">
        <fgColor rgb="FFFFFFFF"/>
        <bgColor rgb="FF000000"/>
      </patternFill>
    </fill>
    <fill>
      <patternFill patternType="solid">
        <fgColor rgb="FFF0F0F0"/>
        <bgColor rgb="FF000000"/>
      </patternFill>
    </fill>
    <fill>
      <patternFill patternType="solid">
        <fgColor rgb="FFFF0000"/>
        <bgColor indexed="64"/>
      </patternFill>
    </fill>
    <fill>
      <patternFill patternType="solid">
        <fgColor rgb="FFFF0000"/>
        <bgColor rgb="FF000000"/>
      </patternFill>
    </fill>
    <fill>
      <patternFill patternType="solid">
        <fgColor rgb="FFFF0000"/>
        <bgColor rgb="FFFFFFFF"/>
      </patternFill>
    </fill>
    <fill>
      <patternFill patternType="solid">
        <fgColor indexed="9"/>
        <bgColor indexed="64"/>
      </patternFill>
    </fill>
    <fill>
      <patternFill patternType="solid">
        <fgColor theme="2"/>
        <bgColor rgb="FFFFFFFF"/>
      </patternFill>
    </fill>
    <fill>
      <patternFill patternType="solid">
        <fgColor theme="2"/>
        <bgColor indexed="64"/>
      </patternFill>
    </fill>
  </fills>
  <borders count="34">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style="hair">
        <color rgb="FF000000"/>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right/>
      <top/>
      <bottom style="thin">
        <color rgb="FFFF0000"/>
      </bottom>
      <diagonal/>
    </border>
    <border>
      <left style="thin">
        <color indexed="64"/>
      </left>
      <right style="thin">
        <color rgb="FF000000"/>
      </right>
      <top style="thin">
        <color indexed="64"/>
      </top>
      <bottom style="hair">
        <color rgb="FF000000"/>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diagonal/>
    </border>
    <border>
      <left style="thin">
        <color indexed="64"/>
      </left>
      <right style="thin">
        <color rgb="FF000000"/>
      </right>
      <top style="hair">
        <color rgb="FF000000"/>
      </top>
      <bottom style="hair">
        <color rgb="FF000000"/>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thin">
        <color indexed="64"/>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auto="1"/>
      </left>
      <right style="thin">
        <color auto="1"/>
      </right>
      <top style="hair">
        <color auto="1"/>
      </top>
      <bottom/>
      <diagonal/>
    </border>
    <border>
      <left/>
      <right style="medium">
        <color auto="1"/>
      </right>
      <top/>
      <bottom/>
      <diagonal/>
    </border>
    <border>
      <left/>
      <right style="medium">
        <color auto="1"/>
      </right>
      <top/>
      <bottom style="thin">
        <color indexed="64"/>
      </bottom>
      <diagonal/>
    </border>
    <border>
      <left style="dashDotDot">
        <color rgb="FFFF0000"/>
      </left>
      <right/>
      <top style="dashDotDot">
        <color rgb="FFFF0000"/>
      </top>
      <bottom style="dashDotDot">
        <color rgb="FFFF0000"/>
      </bottom>
      <diagonal/>
    </border>
    <border>
      <left/>
      <right/>
      <top style="dashDotDot">
        <color rgb="FFFF0000"/>
      </top>
      <bottom style="dashDotDot">
        <color rgb="FFFF0000"/>
      </bottom>
      <diagonal/>
    </border>
    <border>
      <left/>
      <right style="dashDotDot">
        <color rgb="FFFF0000"/>
      </right>
      <top style="dashDotDot">
        <color rgb="FFFF0000"/>
      </top>
      <bottom style="dashDotDot">
        <color rgb="FFFF0000"/>
      </bottom>
      <diagonal/>
    </border>
    <border>
      <left/>
      <right/>
      <top/>
      <bottom style="medium">
        <color auto="1"/>
      </bottom>
      <diagonal/>
    </border>
  </borders>
  <cellStyleXfs count="17">
    <xf numFmtId="0" fontId="0" fillId="0" borderId="0"/>
    <xf numFmtId="43"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3" fillId="0" borderId="0" applyFont="0" applyFill="0" applyBorder="0" applyAlignment="0" applyProtection="0"/>
    <xf numFmtId="0" fontId="12" fillId="0" borderId="0" applyNumberFormat="0" applyFill="0" applyBorder="0" applyAlignment="0" applyProtection="0"/>
    <xf numFmtId="0" fontId="5" fillId="0" borderId="0"/>
    <xf numFmtId="0" fontId="2" fillId="0" borderId="0"/>
    <xf numFmtId="0" fontId="5" fillId="0" borderId="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0" fontId="1" fillId="0" borderId="0"/>
  </cellStyleXfs>
  <cellXfs count="265">
    <xf numFmtId="0" fontId="0" fillId="0" borderId="0" xfId="0"/>
    <xf numFmtId="0" fontId="6" fillId="0" borderId="0" xfId="6" applyFont="1"/>
    <xf numFmtId="9" fontId="6" fillId="0" borderId="0" xfId="2" applyFont="1"/>
    <xf numFmtId="0" fontId="7" fillId="0" borderId="0" xfId="6" applyFont="1"/>
    <xf numFmtId="164" fontId="6" fillId="0" borderId="0" xfId="6" applyNumberFormat="1" applyFont="1"/>
    <xf numFmtId="164" fontId="9" fillId="2" borderId="3" xfId="7" applyNumberFormat="1" applyFont="1" applyFill="1" applyBorder="1" applyAlignment="1">
      <alignment horizontal="left" vertical="center"/>
    </xf>
    <xf numFmtId="164" fontId="9" fillId="2" borderId="4" xfId="7" applyNumberFormat="1" applyFont="1" applyFill="1" applyBorder="1" applyAlignment="1">
      <alignment horizontal="left" vertical="center"/>
    </xf>
    <xf numFmtId="164" fontId="9" fillId="2" borderId="5" xfId="7" applyNumberFormat="1" applyFont="1" applyFill="1" applyBorder="1" applyAlignment="1">
      <alignment horizontal="left" vertical="center"/>
    </xf>
    <xf numFmtId="164" fontId="9" fillId="3" borderId="3" xfId="7" applyNumberFormat="1" applyFont="1" applyFill="1" applyBorder="1" applyAlignment="1">
      <alignment horizontal="left" vertical="center"/>
    </xf>
    <xf numFmtId="164" fontId="9" fillId="3" borderId="4" xfId="7" applyNumberFormat="1" applyFont="1" applyFill="1" applyBorder="1" applyAlignment="1">
      <alignment horizontal="left" vertical="center"/>
    </xf>
    <xf numFmtId="164" fontId="9" fillId="3" borderId="6" xfId="7" applyNumberFormat="1" applyFont="1" applyFill="1" applyBorder="1" applyAlignment="1">
      <alignment horizontal="left" vertical="center"/>
    </xf>
    <xf numFmtId="164" fontId="9" fillId="2" borderId="6" xfId="7" applyNumberFormat="1" applyFont="1" applyFill="1" applyBorder="1" applyAlignment="1">
      <alignment horizontal="left" vertical="center"/>
    </xf>
    <xf numFmtId="0" fontId="6" fillId="0" borderId="0" xfId="6" applyFont="1" applyAlignment="1">
      <alignment horizontal="center"/>
    </xf>
    <xf numFmtId="0" fontId="11" fillId="4" borderId="0" xfId="0" applyFont="1" applyFill="1"/>
    <xf numFmtId="0" fontId="10" fillId="4" borderId="0" xfId="0" applyFont="1" applyFill="1"/>
    <xf numFmtId="0" fontId="9" fillId="2" borderId="3" xfId="6" applyFont="1" applyFill="1" applyBorder="1" applyAlignment="1">
      <alignment horizontal="left" vertical="center" wrapText="1"/>
    </xf>
    <xf numFmtId="0" fontId="6" fillId="0" borderId="0" xfId="6" applyFont="1" applyAlignment="1">
      <alignment horizontal="left"/>
    </xf>
    <xf numFmtId="0" fontId="9" fillId="3" borderId="3" xfId="6" applyFont="1" applyFill="1" applyBorder="1" applyAlignment="1">
      <alignment horizontal="left" vertical="center" wrapText="1" indent="2"/>
    </xf>
    <xf numFmtId="0" fontId="9" fillId="2" borderId="3" xfId="6" applyFont="1" applyFill="1" applyBorder="1" applyAlignment="1">
      <alignment horizontal="left" vertical="center" wrapText="1" indent="2"/>
    </xf>
    <xf numFmtId="0" fontId="12" fillId="0" borderId="0" xfId="8" applyAlignment="1">
      <alignment horizontal="left" indent="1"/>
    </xf>
    <xf numFmtId="0" fontId="6" fillId="0" borderId="0" xfId="0" applyFont="1"/>
    <xf numFmtId="0" fontId="10" fillId="0" borderId="0" xfId="0" applyFont="1"/>
    <xf numFmtId="0" fontId="6" fillId="0" borderId="0" xfId="9" applyFont="1"/>
    <xf numFmtId="0" fontId="7" fillId="0" borderId="0" xfId="9" applyFont="1"/>
    <xf numFmtId="0" fontId="6" fillId="0" borderId="0" xfId="9" quotePrefix="1" applyFont="1" applyAlignment="1">
      <alignment horizontal="left"/>
    </xf>
    <xf numFmtId="0" fontId="7" fillId="0" borderId="0" xfId="9" quotePrefix="1" applyFont="1" applyAlignment="1">
      <alignment horizontal="left"/>
    </xf>
    <xf numFmtId="0" fontId="6" fillId="0" borderId="0" xfId="9" applyFont="1" applyAlignment="1">
      <alignment horizontal="left"/>
    </xf>
    <xf numFmtId="0" fontId="15" fillId="0" borderId="0" xfId="9" applyFont="1"/>
    <xf numFmtId="38" fontId="6" fillId="0" borderId="0" xfId="0" applyNumberFormat="1" applyFont="1"/>
    <xf numFmtId="38" fontId="7" fillId="0" borderId="12" xfId="9" applyNumberFormat="1" applyFont="1" applyBorder="1"/>
    <xf numFmtId="38" fontId="10" fillId="0" borderId="24" xfId="0" applyNumberFormat="1" applyFont="1" applyBorder="1"/>
    <xf numFmtId="172" fontId="6" fillId="0" borderId="0" xfId="0" applyNumberFormat="1" applyFont="1"/>
    <xf numFmtId="170" fontId="6" fillId="0" borderId="0" xfId="2" applyNumberFormat="1" applyFont="1"/>
    <xf numFmtId="170" fontId="6" fillId="0" borderId="0" xfId="0" applyNumberFormat="1" applyFont="1"/>
    <xf numFmtId="38" fontId="7" fillId="0" borderId="0" xfId="9" applyNumberFormat="1" applyFont="1"/>
    <xf numFmtId="173" fontId="6" fillId="0" borderId="0" xfId="0" applyNumberFormat="1" applyFont="1"/>
    <xf numFmtId="38" fontId="6" fillId="0" borderId="11" xfId="0" applyNumberFormat="1" applyFont="1" applyBorder="1"/>
    <xf numFmtId="170" fontId="6" fillId="0" borderId="11" xfId="2" applyNumberFormat="1" applyFont="1" applyBorder="1"/>
    <xf numFmtId="38" fontId="7" fillId="0" borderId="0" xfId="0" applyNumberFormat="1" applyFont="1"/>
    <xf numFmtId="170" fontId="7" fillId="0" borderId="0" xfId="2" applyNumberFormat="1" applyFont="1"/>
    <xf numFmtId="38" fontId="7" fillId="0" borderId="24" xfId="0" applyNumberFormat="1" applyFont="1" applyBorder="1"/>
    <xf numFmtId="170" fontId="7" fillId="0" borderId="24" xfId="2" applyNumberFormat="1" applyFont="1" applyBorder="1"/>
    <xf numFmtId="0" fontId="6" fillId="0" borderId="0" xfId="0" applyFont="1" applyAlignment="1">
      <alignment wrapText="1"/>
    </xf>
    <xf numFmtId="38" fontId="10" fillId="0" borderId="25" xfId="0" applyNumberFormat="1" applyFont="1" applyBorder="1"/>
    <xf numFmtId="38" fontId="10" fillId="0" borderId="26" xfId="0" applyNumberFormat="1" applyFont="1" applyBorder="1"/>
    <xf numFmtId="38" fontId="10" fillId="0" borderId="12" xfId="0" applyNumberFormat="1" applyFont="1" applyBorder="1"/>
    <xf numFmtId="0" fontId="17" fillId="0" borderId="0" xfId="0" applyFont="1" applyAlignment="1">
      <alignment horizontal="justify" vertical="center" wrapText="1"/>
    </xf>
    <xf numFmtId="0" fontId="9" fillId="0" borderId="0" xfId="0" quotePrefix="1" applyFont="1" applyAlignment="1">
      <alignment vertical="center"/>
    </xf>
    <xf numFmtId="0" fontId="9"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18" fillId="0" borderId="0" xfId="0" applyFont="1" applyAlignment="1">
      <alignment horizontal="left" vertical="center" wrapText="1"/>
    </xf>
    <xf numFmtId="0" fontId="9" fillId="0" borderId="0" xfId="0" applyFont="1" applyAlignment="1">
      <alignment horizontal="justify" vertical="center" wrapText="1"/>
    </xf>
    <xf numFmtId="0" fontId="19" fillId="0" borderId="0" xfId="0" applyFont="1" applyAlignment="1">
      <alignment horizontal="justify" vertical="center" wrapText="1"/>
    </xf>
    <xf numFmtId="0" fontId="9" fillId="0" borderId="0" xfId="0" applyFont="1" applyAlignment="1">
      <alignment vertical="center" wrapText="1"/>
    </xf>
    <xf numFmtId="38" fontId="10" fillId="0" borderId="24" xfId="0" applyNumberFormat="1" applyFont="1" applyBorder="1" applyAlignment="1">
      <alignment horizontal="center" vertical="center"/>
    </xf>
    <xf numFmtId="38" fontId="10" fillId="0" borderId="24" xfId="0" applyNumberFormat="1" applyFont="1" applyBorder="1" applyAlignment="1">
      <alignment horizontal="center"/>
    </xf>
    <xf numFmtId="38" fontId="6" fillId="0" borderId="0" xfId="0" applyNumberFormat="1" applyFont="1" applyAlignment="1">
      <alignment horizontal="center"/>
    </xf>
    <xf numFmtId="0" fontId="20" fillId="0" borderId="0" xfId="0" applyFont="1"/>
    <xf numFmtId="0" fontId="6" fillId="0" borderId="8" xfId="0" applyFont="1" applyBorder="1"/>
    <xf numFmtId="0" fontId="6" fillId="0" borderId="9" xfId="0" applyFont="1" applyBorder="1"/>
    <xf numFmtId="0" fontId="6" fillId="0" borderId="27" xfId="0" applyFont="1" applyBorder="1"/>
    <xf numFmtId="38" fontId="6" fillId="0" borderId="0" xfId="0" applyNumberFormat="1" applyFont="1" applyAlignment="1">
      <alignment vertical="center"/>
    </xf>
    <xf numFmtId="38" fontId="6" fillId="0" borderId="0" xfId="1" applyNumberFormat="1" applyFont="1" applyAlignment="1">
      <alignment horizontal="center" vertical="center"/>
    </xf>
    <xf numFmtId="38" fontId="10" fillId="0" borderId="12" xfId="0" applyNumberFormat="1" applyFont="1" applyBorder="1" applyAlignment="1">
      <alignment horizontal="center" vertical="center"/>
    </xf>
    <xf numFmtId="38" fontId="6" fillId="0" borderId="0" xfId="0" applyNumberFormat="1" applyFont="1" applyAlignment="1">
      <alignment horizontal="center" vertical="center"/>
    </xf>
    <xf numFmtId="38" fontId="6" fillId="0" borderId="11" xfId="0" applyNumberFormat="1" applyFont="1" applyBorder="1" applyAlignment="1">
      <alignment horizontal="center" vertical="center"/>
    </xf>
    <xf numFmtId="38" fontId="6" fillId="0" borderId="12" xfId="0" applyNumberFormat="1" applyFont="1" applyBorder="1" applyAlignment="1">
      <alignment horizontal="center" vertical="center"/>
    </xf>
    <xf numFmtId="38" fontId="10" fillId="0" borderId="0" xfId="0" applyNumberFormat="1" applyFont="1" applyAlignment="1">
      <alignment horizontal="center" vertical="center"/>
    </xf>
    <xf numFmtId="0" fontId="6" fillId="0" borderId="0" xfId="0" applyFont="1" applyAlignment="1">
      <alignment vertical="center"/>
    </xf>
    <xf numFmtId="0" fontId="21" fillId="0" borderId="0" xfId="0" applyFont="1"/>
    <xf numFmtId="0" fontId="7" fillId="0" borderId="0" xfId="0" applyFont="1"/>
    <xf numFmtId="0" fontId="13" fillId="5" borderId="0" xfId="0" applyFont="1" applyFill="1" applyAlignment="1">
      <alignment horizontal="left"/>
    </xf>
    <xf numFmtId="49" fontId="8" fillId="5" borderId="0" xfId="0" applyNumberFormat="1" applyFont="1" applyFill="1"/>
    <xf numFmtId="0" fontId="14" fillId="6" borderId="13" xfId="0" applyFont="1" applyFill="1" applyBorder="1" applyAlignment="1">
      <alignment horizontal="left"/>
    </xf>
    <xf numFmtId="0" fontId="8" fillId="5" borderId="0" xfId="0" applyFont="1" applyFill="1" applyAlignment="1">
      <alignment horizontal="left"/>
    </xf>
    <xf numFmtId="0" fontId="22" fillId="7" borderId="0" xfId="0" applyFont="1" applyFill="1" applyAlignment="1">
      <alignment horizontal="left"/>
    </xf>
    <xf numFmtId="49" fontId="23" fillId="7" borderId="0" xfId="0" applyNumberFormat="1" applyFont="1" applyFill="1" applyAlignment="1">
      <alignment horizontal="center"/>
    </xf>
    <xf numFmtId="49" fontId="24" fillId="0" borderId="0" xfId="0" applyNumberFormat="1" applyFont="1" applyAlignment="1">
      <alignment horizontal="left" indent="2"/>
    </xf>
    <xf numFmtId="0" fontId="25" fillId="0" borderId="0" xfId="0" applyFont="1"/>
    <xf numFmtId="0" fontId="25" fillId="8" borderId="0" xfId="0" applyFont="1" applyFill="1"/>
    <xf numFmtId="38" fontId="6" fillId="0" borderId="0" xfId="1" applyNumberFormat="1" applyFont="1" applyFill="1" applyBorder="1" applyAlignment="1">
      <alignment horizontal="right"/>
    </xf>
    <xf numFmtId="166" fontId="6" fillId="0" borderId="0" xfId="4" applyNumberFormat="1" applyFont="1" applyFill="1" applyBorder="1" applyAlignment="1">
      <alignment horizontal="right"/>
    </xf>
    <xf numFmtId="164" fontId="6" fillId="0" borderId="0" xfId="1" applyNumberFormat="1" applyFont="1" applyFill="1"/>
    <xf numFmtId="167" fontId="6" fillId="0" borderId="0" xfId="3" applyNumberFormat="1" applyFont="1" applyFill="1" applyBorder="1" applyAlignment="1">
      <alignment horizontal="center"/>
    </xf>
    <xf numFmtId="164" fontId="6" fillId="0" borderId="0" xfId="1" applyNumberFormat="1" applyFont="1" applyFill="1" applyBorder="1"/>
    <xf numFmtId="164" fontId="6" fillId="0" borderId="0" xfId="1" applyNumberFormat="1" applyFont="1" applyFill="1" applyBorder="1" applyAlignment="1">
      <alignment horizontal="center"/>
    </xf>
    <xf numFmtId="38" fontId="6" fillId="0" borderId="0" xfId="3" applyNumberFormat="1" applyFont="1" applyBorder="1"/>
    <xf numFmtId="38" fontId="7" fillId="0" borderId="0" xfId="3" applyNumberFormat="1" applyFont="1" applyBorder="1"/>
    <xf numFmtId="165" fontId="6" fillId="0" borderId="0" xfId="1" applyNumberFormat="1" applyFont="1"/>
    <xf numFmtId="164" fontId="6" fillId="0" borderId="0" xfId="1" applyNumberFormat="1" applyFont="1"/>
    <xf numFmtId="0" fontId="7" fillId="0" borderId="26" xfId="0" applyFont="1" applyBorder="1"/>
    <xf numFmtId="164" fontId="7" fillId="0" borderId="26" xfId="0" applyNumberFormat="1" applyFont="1" applyBorder="1"/>
    <xf numFmtId="165" fontId="6" fillId="0" borderId="0" xfId="0" applyNumberFormat="1" applyFont="1"/>
    <xf numFmtId="0" fontId="8" fillId="12" borderId="1" xfId="6" applyFont="1" applyFill="1" applyBorder="1" applyAlignment="1">
      <alignment horizontal="left" vertical="center" wrapText="1"/>
    </xf>
    <xf numFmtId="0" fontId="8" fillId="12" borderId="1" xfId="6" applyFont="1" applyFill="1" applyBorder="1" applyAlignment="1">
      <alignment horizontal="center" vertical="center" wrapText="1"/>
    </xf>
    <xf numFmtId="0" fontId="8" fillId="12" borderId="2" xfId="6" applyFont="1" applyFill="1" applyBorder="1" applyAlignment="1">
      <alignment horizontal="center" vertical="center" wrapText="1"/>
    </xf>
    <xf numFmtId="0" fontId="8" fillId="12" borderId="14" xfId="6" applyFont="1" applyFill="1" applyBorder="1" applyAlignment="1">
      <alignment horizontal="left" vertical="center"/>
    </xf>
    <xf numFmtId="0" fontId="8" fillId="12" borderId="15" xfId="6" applyFont="1" applyFill="1" applyBorder="1" applyAlignment="1">
      <alignment horizontal="center" vertical="center" wrapText="1"/>
    </xf>
    <xf numFmtId="0" fontId="8" fillId="12" borderId="16" xfId="6" applyFont="1" applyFill="1" applyBorder="1" applyAlignment="1">
      <alignment horizontal="center" vertical="center" wrapText="1"/>
    </xf>
    <xf numFmtId="0" fontId="9" fillId="10" borderId="17" xfId="6" applyFont="1" applyFill="1" applyBorder="1" applyAlignment="1">
      <alignment horizontal="left" vertical="center"/>
    </xf>
    <xf numFmtId="164" fontId="9" fillId="10" borderId="3" xfId="7" applyNumberFormat="1" applyFont="1" applyFill="1" applyBorder="1" applyAlignment="1">
      <alignment horizontal="left" vertical="center"/>
    </xf>
    <xf numFmtId="164" fontId="9" fillId="10" borderId="4" xfId="7" applyNumberFormat="1" applyFont="1" applyFill="1" applyBorder="1" applyAlignment="1">
      <alignment horizontal="left" vertical="center"/>
    </xf>
    <xf numFmtId="164" fontId="9" fillId="10" borderId="5" xfId="7" applyNumberFormat="1" applyFont="1" applyFill="1" applyBorder="1" applyAlignment="1">
      <alignment horizontal="left" vertical="center"/>
    </xf>
    <xf numFmtId="0" fontId="9" fillId="11" borderId="17" xfId="6" applyFont="1" applyFill="1" applyBorder="1" applyAlignment="1">
      <alignment horizontal="left" vertical="center" indent="2"/>
    </xf>
    <xf numFmtId="164" fontId="9" fillId="11" borderId="3" xfId="7" applyNumberFormat="1" applyFont="1" applyFill="1" applyBorder="1" applyAlignment="1">
      <alignment horizontal="left" vertical="center"/>
    </xf>
    <xf numFmtId="164" fontId="9" fillId="11" borderId="4" xfId="7" applyNumberFormat="1" applyFont="1" applyFill="1" applyBorder="1" applyAlignment="1">
      <alignment horizontal="left" vertical="center"/>
    </xf>
    <xf numFmtId="164" fontId="9" fillId="11" borderId="6" xfId="7" applyNumberFormat="1" applyFont="1" applyFill="1" applyBorder="1" applyAlignment="1">
      <alignment horizontal="left" vertical="center"/>
    </xf>
    <xf numFmtId="0" fontId="9" fillId="10" borderId="18" xfId="6" applyFont="1" applyFill="1" applyBorder="1" applyAlignment="1">
      <alignment horizontal="left" vertical="center" indent="2"/>
    </xf>
    <xf numFmtId="164" fontId="9" fillId="10" borderId="19" xfId="7" applyNumberFormat="1" applyFont="1" applyFill="1" applyBorder="1" applyAlignment="1">
      <alignment horizontal="left" vertical="center"/>
    </xf>
    <xf numFmtId="164" fontId="9" fillId="10" borderId="20" xfId="7" applyNumberFormat="1" applyFont="1" applyFill="1" applyBorder="1" applyAlignment="1">
      <alignment horizontal="left" vertical="center"/>
    </xf>
    <xf numFmtId="164" fontId="9" fillId="10" borderId="7" xfId="7" applyNumberFormat="1" applyFont="1" applyFill="1" applyBorder="1" applyAlignment="1">
      <alignment horizontal="left" vertical="center"/>
    </xf>
    <xf numFmtId="0" fontId="8" fillId="12" borderId="21" xfId="6" applyFont="1" applyFill="1" applyBorder="1" applyAlignment="1">
      <alignment horizontal="center" vertical="center" wrapText="1"/>
    </xf>
    <xf numFmtId="164" fontId="9" fillId="10" borderId="3" xfId="7" applyNumberFormat="1" applyFont="1" applyFill="1" applyBorder="1" applyAlignment="1">
      <alignment horizontal="center" vertical="center" wrapText="1"/>
    </xf>
    <xf numFmtId="164" fontId="9" fillId="10" borderId="22" xfId="7" applyNumberFormat="1" applyFont="1" applyFill="1" applyBorder="1" applyAlignment="1">
      <alignment horizontal="center" vertical="center" wrapText="1"/>
    </xf>
    <xf numFmtId="164" fontId="9" fillId="11" borderId="3" xfId="7" applyNumberFormat="1" applyFont="1" applyFill="1" applyBorder="1" applyAlignment="1">
      <alignment horizontal="center" vertical="center" wrapText="1"/>
    </xf>
    <xf numFmtId="164" fontId="9" fillId="11" borderId="22" xfId="7" applyNumberFormat="1" applyFont="1" applyFill="1" applyBorder="1" applyAlignment="1">
      <alignment horizontal="center" vertical="center" wrapText="1"/>
    </xf>
    <xf numFmtId="164" fontId="9" fillId="10" borderId="19" xfId="7" applyNumberFormat="1" applyFont="1" applyFill="1" applyBorder="1" applyAlignment="1">
      <alignment horizontal="center" vertical="center" wrapText="1"/>
    </xf>
    <xf numFmtId="164" fontId="9" fillId="10" borderId="23" xfId="7" applyNumberFormat="1" applyFont="1" applyFill="1" applyBorder="1" applyAlignment="1">
      <alignment horizontal="center" vertical="center" wrapText="1"/>
    </xf>
    <xf numFmtId="164" fontId="9" fillId="11" borderId="23" xfId="7" applyNumberFormat="1" applyFont="1" applyFill="1" applyBorder="1" applyAlignment="1">
      <alignment horizontal="center" vertical="center" wrapText="1"/>
    </xf>
    <xf numFmtId="165" fontId="9" fillId="11" borderId="3" xfId="7" applyNumberFormat="1" applyFont="1" applyFill="1" applyBorder="1" applyAlignment="1">
      <alignment horizontal="center" vertical="center" wrapText="1"/>
    </xf>
    <xf numFmtId="165" fontId="9" fillId="11" borderId="22" xfId="7" applyNumberFormat="1" applyFont="1" applyFill="1" applyBorder="1" applyAlignment="1">
      <alignment horizontal="center" vertical="center" wrapText="1"/>
    </xf>
    <xf numFmtId="164" fontId="29" fillId="10" borderId="19" xfId="7" applyNumberFormat="1" applyFont="1" applyFill="1" applyBorder="1" applyAlignment="1">
      <alignment horizontal="center" vertical="center" wrapText="1"/>
    </xf>
    <xf numFmtId="165" fontId="29" fillId="10" borderId="19" xfId="7" applyNumberFormat="1" applyFont="1" applyFill="1" applyBorder="1" applyAlignment="1">
      <alignment horizontal="center" vertical="center" wrapText="1"/>
    </xf>
    <xf numFmtId="0" fontId="28" fillId="0" borderId="0" xfId="0" applyFont="1"/>
    <xf numFmtId="0" fontId="30" fillId="0" borderId="0" xfId="0" applyFont="1"/>
    <xf numFmtId="0" fontId="6" fillId="12" borderId="0" xfId="0" applyFont="1" applyFill="1"/>
    <xf numFmtId="38" fontId="6" fillId="0" borderId="8" xfId="1" applyNumberFormat="1" applyFont="1" applyBorder="1"/>
    <xf numFmtId="38" fontId="6" fillId="0" borderId="9" xfId="1" applyNumberFormat="1" applyFont="1" applyBorder="1"/>
    <xf numFmtId="0" fontId="6" fillId="0" borderId="10" xfId="0" applyFont="1" applyBorder="1"/>
    <xf numFmtId="38" fontId="6" fillId="0" borderId="0" xfId="1" applyNumberFormat="1" applyFont="1" applyBorder="1"/>
    <xf numFmtId="0" fontId="13" fillId="13" borderId="0" xfId="0" applyFont="1" applyFill="1" applyAlignment="1">
      <alignment horizontal="left"/>
    </xf>
    <xf numFmtId="49" fontId="8" fillId="13" borderId="0" xfId="0" applyNumberFormat="1" applyFont="1" applyFill="1"/>
    <xf numFmtId="0" fontId="14" fillId="14" borderId="11" xfId="0" applyFont="1" applyFill="1" applyBorder="1" applyAlignment="1">
      <alignment horizontal="left"/>
    </xf>
    <xf numFmtId="49" fontId="8" fillId="13" borderId="11" xfId="0" applyNumberFormat="1" applyFont="1" applyFill="1" applyBorder="1" applyAlignment="1">
      <alignment horizontal="center"/>
    </xf>
    <xf numFmtId="49" fontId="8" fillId="13" borderId="11" xfId="0" applyNumberFormat="1" applyFont="1" applyFill="1" applyBorder="1" applyAlignment="1">
      <alignment horizontal="center" wrapText="1"/>
    </xf>
    <xf numFmtId="0" fontId="8" fillId="13" borderId="11" xfId="0" applyFont="1" applyFill="1" applyBorder="1" applyAlignment="1">
      <alignment horizontal="left"/>
    </xf>
    <xf numFmtId="0" fontId="26" fillId="0" borderId="0" xfId="0" applyFont="1"/>
    <xf numFmtId="0" fontId="31" fillId="12" borderId="0" xfId="0" applyFont="1" applyFill="1" applyAlignment="1">
      <alignment horizontal="center"/>
    </xf>
    <xf numFmtId="43" fontId="6" fillId="0" borderId="0" xfId="0" applyNumberFormat="1" applyFont="1"/>
    <xf numFmtId="0" fontId="14" fillId="6" borderId="0" xfId="0" applyFont="1" applyFill="1" applyAlignment="1">
      <alignment horizontal="left"/>
    </xf>
    <xf numFmtId="0" fontId="6" fillId="0" borderId="0" xfId="0" applyFont="1" applyAlignment="1">
      <alignment horizontal="center"/>
    </xf>
    <xf numFmtId="0" fontId="6" fillId="15" borderId="0" xfId="0" applyFont="1" applyFill="1"/>
    <xf numFmtId="166" fontId="6" fillId="0" borderId="0" xfId="0" applyNumberFormat="1" applyFont="1"/>
    <xf numFmtId="9" fontId="6" fillId="0" borderId="0" xfId="2" applyFont="1" applyBorder="1" applyAlignment="1">
      <alignment horizontal="center"/>
    </xf>
    <xf numFmtId="166" fontId="6" fillId="0" borderId="0" xfId="4" applyNumberFormat="1" applyFont="1" applyBorder="1" applyAlignment="1">
      <alignment horizontal="right"/>
    </xf>
    <xf numFmtId="38" fontId="6" fillId="0" borderId="0" xfId="1" applyNumberFormat="1" applyFont="1" applyBorder="1" applyAlignment="1">
      <alignment horizontal="right"/>
    </xf>
    <xf numFmtId="38" fontId="7" fillId="0" borderId="0" xfId="1" applyNumberFormat="1" applyFont="1" applyBorder="1" applyAlignment="1">
      <alignment horizontal="right"/>
    </xf>
    <xf numFmtId="166" fontId="7" fillId="0" borderId="0" xfId="4" applyNumberFormat="1" applyFont="1" applyBorder="1" applyAlignment="1">
      <alignment horizontal="right"/>
    </xf>
    <xf numFmtId="164" fontId="6" fillId="0" borderId="0" xfId="3" applyNumberFormat="1" applyFont="1" applyBorder="1" applyAlignment="1">
      <alignment horizontal="center"/>
    </xf>
    <xf numFmtId="167" fontId="6" fillId="0" borderId="0" xfId="3" applyNumberFormat="1" applyFont="1" applyBorder="1" applyAlignment="1">
      <alignment horizontal="center"/>
    </xf>
    <xf numFmtId="164" fontId="6" fillId="0" borderId="0" xfId="1" applyNumberFormat="1" applyFont="1" applyBorder="1" applyAlignment="1">
      <alignment horizontal="center"/>
    </xf>
    <xf numFmtId="0" fontId="6" fillId="0" borderId="11" xfId="0" applyFont="1" applyBorder="1"/>
    <xf numFmtId="43" fontId="6" fillId="0" borderId="11" xfId="0" applyNumberFormat="1" applyFont="1" applyBorder="1"/>
    <xf numFmtId="164" fontId="6" fillId="0" borderId="0" xfId="0" applyNumberFormat="1" applyFont="1"/>
    <xf numFmtId="168" fontId="6" fillId="0" borderId="0" xfId="0" applyNumberFormat="1" applyFont="1"/>
    <xf numFmtId="164" fontId="20" fillId="0" borderId="0" xfId="0" applyNumberFormat="1" applyFont="1"/>
    <xf numFmtId="164" fontId="20" fillId="0" borderId="0" xfId="1" applyNumberFormat="1" applyFont="1"/>
    <xf numFmtId="0" fontId="14" fillId="6" borderId="0" xfId="0" applyFont="1" applyFill="1" applyAlignment="1">
      <alignment horizontal="center"/>
    </xf>
    <xf numFmtId="40" fontId="7" fillId="0" borderId="0" xfId="3" applyNumberFormat="1" applyFont="1" applyFill="1" applyBorder="1"/>
    <xf numFmtId="0" fontId="6" fillId="0" borderId="28" xfId="0" applyFont="1" applyBorder="1"/>
    <xf numFmtId="164" fontId="6" fillId="0" borderId="28" xfId="1" applyNumberFormat="1" applyFont="1" applyBorder="1"/>
    <xf numFmtId="0" fontId="6" fillId="0" borderId="29" xfId="0" applyFont="1" applyBorder="1"/>
    <xf numFmtId="171" fontId="6" fillId="0" borderId="28" xfId="0" applyNumberFormat="1" applyFont="1" applyBorder="1"/>
    <xf numFmtId="0" fontId="20" fillId="0" borderId="28" xfId="0" applyFont="1" applyBorder="1"/>
    <xf numFmtId="0" fontId="27" fillId="0" borderId="0" xfId="0" applyFont="1" applyAlignment="1">
      <alignment vertical="center"/>
    </xf>
    <xf numFmtId="0" fontId="6" fillId="0" borderId="30" xfId="0" applyFont="1" applyBorder="1"/>
    <xf numFmtId="0" fontId="6" fillId="0" borderId="31" xfId="0" applyFont="1" applyBorder="1"/>
    <xf numFmtId="0" fontId="6" fillId="0" borderId="32" xfId="0" applyFont="1" applyBorder="1"/>
    <xf numFmtId="0" fontId="6" fillId="0" borderId="33" xfId="0" applyFont="1" applyBorder="1"/>
    <xf numFmtId="0" fontId="8" fillId="0" borderId="0" xfId="0" applyFont="1"/>
    <xf numFmtId="38" fontId="6" fillId="0" borderId="27" xfId="1" applyNumberFormat="1" applyFont="1" applyBorder="1"/>
    <xf numFmtId="170" fontId="6" fillId="0" borderId="27" xfId="2" applyNumberFormat="1" applyFont="1" applyBorder="1"/>
    <xf numFmtId="170" fontId="6" fillId="0" borderId="9" xfId="2" applyNumberFormat="1" applyFont="1" applyBorder="1"/>
    <xf numFmtId="170" fontId="6" fillId="0" borderId="10" xfId="2" applyNumberFormat="1" applyFont="1" applyBorder="1"/>
    <xf numFmtId="0" fontId="32" fillId="0" borderId="0" xfId="0" applyFont="1" applyAlignment="1">
      <alignment vertical="center"/>
    </xf>
    <xf numFmtId="0" fontId="16" fillId="0" borderId="0" xfId="6" applyFont="1"/>
    <xf numFmtId="0" fontId="16" fillId="0" borderId="0" xfId="0" applyFont="1"/>
    <xf numFmtId="0" fontId="6" fillId="4" borderId="0" xfId="0" applyFont="1" applyFill="1"/>
    <xf numFmtId="0" fontId="7" fillId="15" borderId="0" xfId="0" applyFont="1" applyFill="1"/>
    <xf numFmtId="0" fontId="7" fillId="0" borderId="0" xfId="0" applyFont="1" applyAlignment="1">
      <alignment horizontal="left" indent="1"/>
    </xf>
    <xf numFmtId="0" fontId="6" fillId="0" borderId="0" xfId="0" applyFont="1" applyAlignment="1">
      <alignment horizontal="left" indent="1"/>
    </xf>
    <xf numFmtId="0" fontId="33" fillId="0" borderId="0" xfId="8" applyFont="1" applyAlignment="1">
      <alignment horizontal="left" indent="1"/>
    </xf>
    <xf numFmtId="0" fontId="16" fillId="12" borderId="0" xfId="0" applyFont="1" applyFill="1" applyAlignment="1">
      <alignment horizontal="center" vertical="center"/>
    </xf>
    <xf numFmtId="9" fontId="6" fillId="0" borderId="0" xfId="2" applyFont="1" applyBorder="1" applyAlignment="1">
      <alignment horizontal="center" vertical="center"/>
    </xf>
    <xf numFmtId="38" fontId="14" fillId="6" borderId="0" xfId="0" applyNumberFormat="1" applyFont="1" applyFill="1" applyAlignment="1">
      <alignment horizontal="center"/>
    </xf>
    <xf numFmtId="38" fontId="6" fillId="0" borderId="0" xfId="4" applyNumberFormat="1" applyFont="1" applyBorder="1" applyAlignment="1">
      <alignment horizontal="right"/>
    </xf>
    <xf numFmtId="38" fontId="6" fillId="0" borderId="0" xfId="3" applyNumberFormat="1" applyFont="1" applyBorder="1" applyAlignment="1">
      <alignment horizontal="center"/>
    </xf>
    <xf numFmtId="38" fontId="6" fillId="0" borderId="0" xfId="1" applyNumberFormat="1" applyFont="1"/>
    <xf numFmtId="38" fontId="20" fillId="0" borderId="0" xfId="0" applyNumberFormat="1" applyFont="1"/>
    <xf numFmtId="49" fontId="8" fillId="5" borderId="0" xfId="0" applyNumberFormat="1" applyFont="1" applyFill="1" applyAlignment="1">
      <alignment horizontal="center" wrapText="1"/>
    </xf>
    <xf numFmtId="9" fontId="7" fillId="0" borderId="0" xfId="2" applyFont="1"/>
    <xf numFmtId="0" fontId="8" fillId="14" borderId="11" xfId="0" applyFont="1" applyFill="1" applyBorder="1" applyAlignment="1">
      <alignment horizontal="left"/>
    </xf>
    <xf numFmtId="0" fontId="8" fillId="14" borderId="11" xfId="0" applyFont="1" applyFill="1" applyBorder="1" applyAlignment="1">
      <alignment horizontal="right"/>
    </xf>
    <xf numFmtId="0" fontId="7" fillId="17" borderId="0" xfId="0" applyFont="1" applyFill="1"/>
    <xf numFmtId="0" fontId="6" fillId="17" borderId="0" xfId="0" applyFont="1" applyFill="1"/>
    <xf numFmtId="49" fontId="34" fillId="16" borderId="0" xfId="0" applyNumberFormat="1" applyFont="1" applyFill="1" applyAlignment="1">
      <alignment horizontal="left"/>
    </xf>
    <xf numFmtId="49" fontId="25" fillId="0" borderId="0" xfId="0" applyNumberFormat="1" applyFont="1" applyAlignment="1">
      <alignment horizontal="left"/>
    </xf>
    <xf numFmtId="49" fontId="34" fillId="7" borderId="0" xfId="0" applyNumberFormat="1" applyFont="1" applyFill="1" applyAlignment="1">
      <alignment horizontal="left"/>
    </xf>
    <xf numFmtId="49" fontId="35" fillId="0" borderId="0" xfId="0" applyNumberFormat="1" applyFont="1" applyAlignment="1">
      <alignment horizontal="left" indent="2"/>
    </xf>
    <xf numFmtId="169" fontId="18" fillId="16" borderId="0" xfId="0" applyNumberFormat="1" applyFont="1" applyFill="1" applyAlignment="1">
      <alignment horizontal="right"/>
    </xf>
    <xf numFmtId="38" fontId="18" fillId="16" borderId="0" xfId="0" applyNumberFormat="1" applyFont="1" applyFill="1" applyAlignment="1">
      <alignment horizontal="right"/>
    </xf>
    <xf numFmtId="170" fontId="18" fillId="16" borderId="0" xfId="2" applyNumberFormat="1" applyFont="1" applyFill="1" applyBorder="1" applyAlignment="1">
      <alignment horizontal="right"/>
    </xf>
    <xf numFmtId="169" fontId="18" fillId="0" borderId="0" xfId="0" applyNumberFormat="1" applyFont="1" applyAlignment="1">
      <alignment horizontal="right"/>
    </xf>
    <xf numFmtId="38" fontId="18" fillId="0" borderId="0" xfId="0" applyNumberFormat="1" applyFont="1" applyAlignment="1">
      <alignment horizontal="right"/>
    </xf>
    <xf numFmtId="170" fontId="18" fillId="7" borderId="0" xfId="2" applyNumberFormat="1" applyFont="1" applyFill="1" applyBorder="1" applyAlignment="1">
      <alignment horizontal="right"/>
    </xf>
    <xf numFmtId="170" fontId="20" fillId="0" borderId="0" xfId="2" applyNumberFormat="1" applyFont="1" applyFill="1" applyBorder="1"/>
    <xf numFmtId="169" fontId="18" fillId="7" borderId="0" xfId="0" applyNumberFormat="1" applyFont="1" applyFill="1" applyAlignment="1">
      <alignment horizontal="right"/>
    </xf>
    <xf numFmtId="38" fontId="18" fillId="7" borderId="0" xfId="0" applyNumberFormat="1" applyFont="1" applyFill="1" applyAlignment="1">
      <alignment horizontal="right"/>
    </xf>
    <xf numFmtId="38" fontId="18" fillId="9" borderId="0" xfId="0" applyNumberFormat="1" applyFont="1" applyFill="1" applyAlignment="1">
      <alignment horizontal="right"/>
    </xf>
    <xf numFmtId="170" fontId="18" fillId="9" borderId="0" xfId="2" applyNumberFormat="1" applyFont="1" applyFill="1" applyBorder="1" applyAlignment="1">
      <alignment horizontal="right"/>
    </xf>
    <xf numFmtId="49" fontId="36" fillId="16" borderId="0" xfId="0" applyNumberFormat="1" applyFont="1" applyFill="1" applyAlignment="1">
      <alignment horizontal="left"/>
    </xf>
    <xf numFmtId="49" fontId="18" fillId="0" borderId="0" xfId="0" applyNumberFormat="1" applyFont="1" applyAlignment="1">
      <alignment horizontal="left"/>
    </xf>
    <xf numFmtId="38" fontId="18" fillId="17" borderId="0" xfId="0" applyNumberFormat="1" applyFont="1" applyFill="1" applyAlignment="1">
      <alignment horizontal="right"/>
    </xf>
    <xf numFmtId="49" fontId="36" fillId="7" borderId="0" xfId="0" applyNumberFormat="1" applyFont="1" applyFill="1" applyAlignment="1">
      <alignment horizontal="left"/>
    </xf>
    <xf numFmtId="0" fontId="18" fillId="0" borderId="0" xfId="0" applyFont="1"/>
    <xf numFmtId="0" fontId="18" fillId="8" borderId="0" xfId="0" applyFont="1" applyFill="1"/>
    <xf numFmtId="0" fontId="9" fillId="0" borderId="0" xfId="0" applyFont="1"/>
    <xf numFmtId="0" fontId="8" fillId="5" borderId="0" xfId="0" applyFont="1" applyFill="1" applyAlignment="1">
      <alignment horizontal="center"/>
    </xf>
    <xf numFmtId="2" fontId="6" fillId="0" borderId="0" xfId="0" applyNumberFormat="1" applyFont="1"/>
    <xf numFmtId="38" fontId="6" fillId="0" borderId="0" xfId="1" applyNumberFormat="1" applyFont="1" applyFill="1" applyAlignment="1">
      <alignment horizontal="center" vertical="center"/>
    </xf>
    <xf numFmtId="38" fontId="6" fillId="0" borderId="9" xfId="0" applyNumberFormat="1" applyFont="1" applyBorder="1" applyAlignment="1">
      <alignment vertical="center"/>
    </xf>
    <xf numFmtId="171" fontId="6" fillId="0" borderId="9" xfId="2" applyNumberFormat="1" applyFont="1" applyFill="1" applyBorder="1" applyAlignment="1">
      <alignment vertical="center"/>
    </xf>
    <xf numFmtId="38" fontId="6" fillId="0" borderId="8" xfId="0" applyNumberFormat="1" applyFont="1" applyBorder="1" applyAlignment="1">
      <alignment vertical="center"/>
    </xf>
    <xf numFmtId="164" fontId="6" fillId="0" borderId="0" xfId="1" applyNumberFormat="1" applyFont="1" applyBorder="1"/>
    <xf numFmtId="43" fontId="6" fillId="0" borderId="0" xfId="1" applyFont="1"/>
    <xf numFmtId="1" fontId="6" fillId="0" borderId="0" xfId="0" applyNumberFormat="1" applyFont="1"/>
    <xf numFmtId="38" fontId="6" fillId="0" borderId="0" xfId="0" quotePrefix="1" applyNumberFormat="1" applyFont="1"/>
    <xf numFmtId="40" fontId="7" fillId="0" borderId="0" xfId="3" applyNumberFormat="1" applyFont="1" applyBorder="1"/>
    <xf numFmtId="174" fontId="6" fillId="0" borderId="0" xfId="0" applyNumberFormat="1" applyFont="1"/>
    <xf numFmtId="0" fontId="31" fillId="12" borderId="0" xfId="0" applyFont="1" applyFill="1" applyAlignment="1">
      <alignment horizontal="center" vertical="center"/>
    </xf>
    <xf numFmtId="171" fontId="6" fillId="0" borderId="0" xfId="2" applyNumberFormat="1" applyFont="1" applyFill="1"/>
    <xf numFmtId="0" fontId="37" fillId="0" borderId="0" xfId="0" applyFont="1"/>
    <xf numFmtId="10" fontId="6" fillId="0" borderId="0" xfId="0" applyNumberFormat="1" applyFont="1"/>
    <xf numFmtId="164" fontId="14" fillId="6" borderId="0" xfId="0" applyNumberFormat="1" applyFont="1" applyFill="1" applyAlignment="1">
      <alignment horizontal="center"/>
    </xf>
    <xf numFmtId="0" fontId="7" fillId="0" borderId="0" xfId="0" applyFont="1" applyAlignment="1">
      <alignment horizontal="center"/>
    </xf>
    <xf numFmtId="38" fontId="7" fillId="0" borderId="0" xfId="0" applyNumberFormat="1" applyFont="1" applyAlignment="1">
      <alignment horizontal="center"/>
    </xf>
    <xf numFmtId="0" fontId="7" fillId="0" borderId="26" xfId="0" applyFont="1" applyBorder="1" applyAlignment="1">
      <alignment horizontal="center"/>
    </xf>
    <xf numFmtId="38" fontId="7" fillId="0" borderId="26" xfId="0" applyNumberFormat="1" applyFont="1" applyBorder="1" applyAlignment="1">
      <alignment horizontal="center"/>
    </xf>
    <xf numFmtId="9" fontId="6" fillId="0" borderId="28" xfId="2" applyFont="1" applyBorder="1"/>
    <xf numFmtId="167" fontId="7" fillId="0" borderId="24" xfId="2" applyNumberFormat="1" applyFont="1" applyBorder="1"/>
    <xf numFmtId="171" fontId="6" fillId="0" borderId="0" xfId="2" applyNumberFormat="1" applyFont="1"/>
    <xf numFmtId="0" fontId="9" fillId="0" borderId="8" xfId="0" applyFont="1" applyBorder="1" applyAlignment="1">
      <alignment vertical="center"/>
    </xf>
    <xf numFmtId="164" fontId="6" fillId="0" borderId="8" xfId="1" applyNumberFormat="1" applyFont="1" applyBorder="1"/>
    <xf numFmtId="164" fontId="9" fillId="0" borderId="8" xfId="1" applyNumberFormat="1" applyFont="1" applyBorder="1" applyAlignment="1">
      <alignment horizontal="right" vertical="center"/>
    </xf>
    <xf numFmtId="164" fontId="6" fillId="0" borderId="8" xfId="1" applyNumberFormat="1" applyFont="1" applyBorder="1" applyAlignment="1">
      <alignment horizontal="right" vertical="center"/>
    </xf>
    <xf numFmtId="0" fontId="9" fillId="0" borderId="9" xfId="0" applyFont="1" applyBorder="1" applyAlignment="1">
      <alignment vertical="center"/>
    </xf>
    <xf numFmtId="164" fontId="6" fillId="0" borderId="9" xfId="1" applyNumberFormat="1" applyFont="1" applyBorder="1"/>
    <xf numFmtId="164" fontId="9" fillId="0" borderId="9" xfId="1" applyNumberFormat="1" applyFont="1" applyBorder="1" applyAlignment="1">
      <alignment horizontal="right" vertical="center"/>
    </xf>
    <xf numFmtId="164" fontId="6" fillId="0" borderId="9" xfId="1" applyNumberFormat="1" applyFont="1" applyBorder="1" applyAlignment="1">
      <alignment horizontal="right" vertical="center"/>
    </xf>
    <xf numFmtId="0" fontId="9" fillId="0" borderId="10" xfId="0" applyFont="1" applyBorder="1" applyAlignment="1">
      <alignment vertical="center"/>
    </xf>
    <xf numFmtId="164" fontId="9" fillId="0" borderId="10" xfId="1" applyNumberFormat="1" applyFont="1" applyBorder="1" applyAlignment="1">
      <alignment horizontal="right" vertical="center"/>
    </xf>
    <xf numFmtId="164" fontId="6" fillId="0" borderId="10" xfId="1" applyNumberFormat="1" applyFont="1" applyBorder="1" applyAlignment="1">
      <alignment horizontal="right" vertical="center"/>
    </xf>
    <xf numFmtId="164" fontId="6" fillId="0" borderId="8" xfId="1" applyNumberFormat="1" applyFont="1" applyFill="1" applyBorder="1" applyAlignment="1">
      <alignment horizontal="right" vertical="center"/>
    </xf>
    <xf numFmtId="164" fontId="6" fillId="0" borderId="9" xfId="1" applyNumberFormat="1" applyFont="1" applyFill="1" applyBorder="1" applyAlignment="1">
      <alignment horizontal="right" vertical="center"/>
    </xf>
    <xf numFmtId="164" fontId="6" fillId="0" borderId="10" xfId="1" applyNumberFormat="1" applyFont="1" applyFill="1" applyBorder="1" applyAlignment="1">
      <alignment horizontal="right" vertical="center"/>
    </xf>
    <xf numFmtId="170" fontId="18" fillId="0" borderId="0" xfId="2" applyNumberFormat="1" applyFont="1" applyFill="1" applyBorder="1" applyAlignment="1">
      <alignment horizontal="right"/>
    </xf>
    <xf numFmtId="169" fontId="6" fillId="0" borderId="0" xfId="0" applyNumberFormat="1" applyFont="1"/>
    <xf numFmtId="40" fontId="6" fillId="0" borderId="0" xfId="3" applyNumberFormat="1" applyFont="1" applyFill="1" applyBorder="1"/>
    <xf numFmtId="9" fontId="6" fillId="0" borderId="0" xfId="2" applyFont="1" applyFill="1"/>
    <xf numFmtId="49" fontId="8" fillId="13" borderId="0" xfId="0" applyNumberFormat="1" applyFont="1" applyFill="1" applyAlignment="1">
      <alignment horizontal="center" wrapText="1"/>
    </xf>
    <xf numFmtId="49" fontId="8" fillId="5" borderId="0" xfId="0" applyNumberFormat="1" applyFont="1" applyFill="1" applyAlignment="1">
      <alignment horizontal="center" wrapText="1"/>
    </xf>
    <xf numFmtId="0" fontId="14" fillId="6" borderId="0" xfId="0" applyFont="1" applyFill="1" applyAlignment="1">
      <alignment horizontal="center" vertical="center"/>
    </xf>
    <xf numFmtId="0" fontId="31" fillId="12" borderId="0" xfId="0" applyFont="1" applyFill="1" applyAlignment="1">
      <alignment horizontal="center"/>
    </xf>
    <xf numFmtId="0" fontId="38" fillId="0" borderId="0" xfId="0" applyFont="1"/>
  </cellXfs>
  <cellStyles count="17">
    <cellStyle name="Comma" xfId="1" builtinId="3"/>
    <cellStyle name="Comma 12" xfId="12" xr:uid="{6B8E2544-AD03-4EF3-9780-02BD56FADD21}"/>
    <cellStyle name="Comma 2" xfId="3" xr:uid="{1A70046C-AB87-4D44-A261-1FF3B6996944}"/>
    <cellStyle name="Comma 3" xfId="7" xr:uid="{8959B3B2-B5CF-40B7-84EF-28F88E083B11}"/>
    <cellStyle name="Comma 3 2" xfId="13" xr:uid="{7F668E7A-1848-4CFB-9198-9B353AE83A8A}"/>
    <cellStyle name="Comma 3 3" xfId="15" xr:uid="{073AFA0E-1FF9-4154-BD4C-1491862C35D0}"/>
    <cellStyle name="Hyperlink" xfId="8" builtinId="8"/>
    <cellStyle name="Normal" xfId="0" builtinId="0"/>
    <cellStyle name="Normal 2" xfId="6" xr:uid="{0A9740B7-A6D6-4EB3-B423-74DACB1DFF43}"/>
    <cellStyle name="Normal 2 2" xfId="9" xr:uid="{BA65F987-AB52-4DA7-B8F9-2AE3626222EE}"/>
    <cellStyle name="Normal 3" xfId="10" xr:uid="{F59DDD8A-6658-425E-B1B5-54D1F9DB1230}"/>
    <cellStyle name="Normal 3 2" xfId="11" xr:uid="{A949EDC7-FBE5-4178-A4EC-317F58DF8F07}"/>
    <cellStyle name="Normal 3 2 2" xfId="14" xr:uid="{C760FEAF-4B9F-4090-908A-A074E8DAD05A}"/>
    <cellStyle name="Normal 3 3" xfId="16" xr:uid="{4B656F10-6BC3-4E5B-BE0D-6B3F3D90EA56}"/>
    <cellStyle name="Percent" xfId="2" builtinId="5"/>
    <cellStyle name="Percent 2" xfId="4" xr:uid="{72395AA4-C6FE-4865-BEEC-51EAD7C4A456}"/>
    <cellStyle name="Percent 2 2" xfId="5" xr:uid="{50EAF2F7-38FB-4044-971F-6DC4985956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304800</xdr:colOff>
      <xdr:row>2</xdr:row>
      <xdr:rowOff>152401</xdr:rowOff>
    </xdr:from>
    <xdr:to>
      <xdr:col>13</xdr:col>
      <xdr:colOff>228600</xdr:colOff>
      <xdr:row>7</xdr:row>
      <xdr:rowOff>112338</xdr:rowOff>
    </xdr:to>
    <xdr:pic>
      <xdr:nvPicPr>
        <xdr:cNvPr id="3" name="Picture 2">
          <a:extLst>
            <a:ext uri="{FF2B5EF4-FFF2-40B4-BE49-F238E27FC236}">
              <a16:creationId xmlns:a16="http://schemas.microsoft.com/office/drawing/2014/main" id="{2393AFFE-ADDD-2084-3550-CD74FEADF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448175" y="476251"/>
          <a:ext cx="4800600" cy="769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460748</xdr:colOff>
      <xdr:row>2</xdr:row>
      <xdr:rowOff>85725</xdr:rowOff>
    </xdr:to>
    <xdr:pic>
      <xdr:nvPicPr>
        <xdr:cNvPr id="3" name="Picture 2">
          <a:extLst>
            <a:ext uri="{FF2B5EF4-FFF2-40B4-BE49-F238E27FC236}">
              <a16:creationId xmlns:a16="http://schemas.microsoft.com/office/drawing/2014/main" id="{4B4B036F-0660-4579-905F-1C6AAC1845E3}"/>
            </a:ext>
          </a:extLst>
        </xdr:cNvPr>
        <xdr:cNvPicPr>
          <a:picLocks noChangeAspect="1"/>
        </xdr:cNvPicPr>
      </xdr:nvPicPr>
      <xdr:blipFill rotWithShape="1">
        <a:blip xmlns:r="http://schemas.openxmlformats.org/officeDocument/2006/relationships" r:embed="rId1"/>
        <a:srcRect l="55006" t="22984" r="3479" b="51531"/>
        <a:stretch/>
      </xdr:blipFill>
      <xdr:spPr>
        <a:xfrm>
          <a:off x="733425" y="95250"/>
          <a:ext cx="946523"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57151</xdr:colOff>
      <xdr:row>0</xdr:row>
      <xdr:rowOff>76201</xdr:rowOff>
    </xdr:from>
    <xdr:to>
      <xdr:col>1</xdr:col>
      <xdr:colOff>1238250</xdr:colOff>
      <xdr:row>2</xdr:row>
      <xdr:rowOff>131024</xdr:rowOff>
    </xdr:to>
    <xdr:pic>
      <xdr:nvPicPr>
        <xdr:cNvPr id="2" name="Picture 1">
          <a:extLst>
            <a:ext uri="{FF2B5EF4-FFF2-40B4-BE49-F238E27FC236}">
              <a16:creationId xmlns:a16="http://schemas.microsoft.com/office/drawing/2014/main" id="{DA56ED20-782C-4079-146D-6C1DDA619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6" y="76201"/>
          <a:ext cx="1181099" cy="3786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57151</xdr:colOff>
      <xdr:row>0</xdr:row>
      <xdr:rowOff>76201</xdr:rowOff>
    </xdr:from>
    <xdr:to>
      <xdr:col>1</xdr:col>
      <xdr:colOff>1238250</xdr:colOff>
      <xdr:row>2</xdr:row>
      <xdr:rowOff>131024</xdr:rowOff>
    </xdr:to>
    <xdr:pic>
      <xdr:nvPicPr>
        <xdr:cNvPr id="2" name="Picture 1">
          <a:extLst>
            <a:ext uri="{FF2B5EF4-FFF2-40B4-BE49-F238E27FC236}">
              <a16:creationId xmlns:a16="http://schemas.microsoft.com/office/drawing/2014/main" id="{5F94C409-DEA9-4677-B187-CB26AB5F4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1" y="76201"/>
          <a:ext cx="1181099" cy="3786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0</xdr:row>
      <xdr:rowOff>76201</xdr:rowOff>
    </xdr:from>
    <xdr:to>
      <xdr:col>1</xdr:col>
      <xdr:colOff>1238250</xdr:colOff>
      <xdr:row>2</xdr:row>
      <xdr:rowOff>131024</xdr:rowOff>
    </xdr:to>
    <xdr:pic>
      <xdr:nvPicPr>
        <xdr:cNvPr id="2" name="Picture 1">
          <a:extLst>
            <a:ext uri="{FF2B5EF4-FFF2-40B4-BE49-F238E27FC236}">
              <a16:creationId xmlns:a16="http://schemas.microsoft.com/office/drawing/2014/main" id="{0CF372B2-985B-41FB-801B-A8E272CD6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1" y="76201"/>
          <a:ext cx="1181099" cy="3786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1200150</xdr:colOff>
      <xdr:row>2</xdr:row>
      <xdr:rowOff>114664</xdr:rowOff>
    </xdr:to>
    <xdr:pic>
      <xdr:nvPicPr>
        <xdr:cNvPr id="3" name="Picture 2">
          <a:extLst>
            <a:ext uri="{FF2B5EF4-FFF2-40B4-BE49-F238E27FC236}">
              <a16:creationId xmlns:a16="http://schemas.microsoft.com/office/drawing/2014/main" id="{3EC8E3AB-6460-B906-E3EA-87A0D16A9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90550" y="104775"/>
          <a:ext cx="1219200" cy="3908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47626</xdr:colOff>
      <xdr:row>0</xdr:row>
      <xdr:rowOff>66675</xdr:rowOff>
    </xdr:from>
    <xdr:to>
      <xdr:col>1</xdr:col>
      <xdr:colOff>1266826</xdr:colOff>
      <xdr:row>2</xdr:row>
      <xdr:rowOff>133713</xdr:rowOff>
    </xdr:to>
    <xdr:pic>
      <xdr:nvPicPr>
        <xdr:cNvPr id="2" name="Picture 1">
          <a:extLst>
            <a:ext uri="{FF2B5EF4-FFF2-40B4-BE49-F238E27FC236}">
              <a16:creationId xmlns:a16="http://schemas.microsoft.com/office/drawing/2014/main" id="{4A2130BF-0242-0BE0-C33F-7E9869AFE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57226" y="66675"/>
          <a:ext cx="1219200" cy="3908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533400</xdr:colOff>
      <xdr:row>0</xdr:row>
      <xdr:rowOff>152400</xdr:rowOff>
    </xdr:from>
    <xdr:to>
      <xdr:col>19</xdr:col>
      <xdr:colOff>514350</xdr:colOff>
      <xdr:row>2</xdr:row>
      <xdr:rowOff>19050</xdr:rowOff>
    </xdr:to>
    <xdr:sp macro="" textlink="">
      <xdr:nvSpPr>
        <xdr:cNvPr id="2" name="TextBox 1">
          <a:extLst>
            <a:ext uri="{FF2B5EF4-FFF2-40B4-BE49-F238E27FC236}">
              <a16:creationId xmlns:a16="http://schemas.microsoft.com/office/drawing/2014/main" id="{9AD799E5-BB32-440B-A828-2FD610C8EEBC}"/>
            </a:ext>
          </a:extLst>
        </xdr:cNvPr>
        <xdr:cNvSpPr txBox="1"/>
      </xdr:nvSpPr>
      <xdr:spPr>
        <a:xfrm>
          <a:off x="533400" y="152400"/>
          <a:ext cx="116776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section has been prepared to provide background on the 2020  GP reclassification. </a:t>
          </a:r>
        </a:p>
        <a:p>
          <a:endParaRPr lang="en-US" sz="1100" baseline="0"/>
        </a:p>
        <a:p>
          <a:r>
            <a:rPr lang="en-US" sz="1100"/>
            <a:t>At full year 2020 Aramex implemented a GP reclassification to facilitate the EBIT per product analysis. Therefore, following the GP reclassification, operating expenses was included in our cost of services (for both variable and fixed costs) and impacting the GP calculation. Previously, operating expenses was a line below GP.</a:t>
          </a:r>
        </a:p>
        <a:p>
          <a:endParaRPr lang="en-US" sz="1100"/>
        </a:p>
        <a:p>
          <a:r>
            <a:rPr lang="en-US" sz="1100"/>
            <a:t>Financial statements at FY 2020 included a comparative reclassification for 2019 . A</a:t>
          </a:r>
          <a:r>
            <a:rPr lang="en-US" sz="1100" baseline="0"/>
            <a:t> d</a:t>
          </a:r>
          <a:r>
            <a:rPr lang="en-US" sz="1100"/>
            <a:t>etailed explanation of the reclassifications can be found in Note 41 in the Full Year 2020 financial statements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amex.sharepoint.com/docs/balance_sheet/2012/Aramex%20PJSC/JKT%20BS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amex.sharepoint.com/Finance/Income%20Statements/2007/Financial%20reports-Dec'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amex.sharepoint.com/sites/Finance/docs/income_statements/2021/Adaptive%20Consolidation/05-May21%20Package%20AF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bna\AppData\Local\Microsoft\Windows\INetCache\Content.Outlook\8VJ2XP7H\12-Dec22%20Package%20AFS%20Organi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ramex.sharepoint.com/Users/benfrnz/Google%20Drive/1%20Iridium%20Shared/4%20TEMPLATES/Aramex/IRIDIUM%20-%20Aramex%20Data%20Pack%202016Q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ramex.sharepoint.com/Users/leenr/AppData/Local/Microsoft/Windows/INetCache/Content.Outlook/XKA1CX5M/Aramex%20-%20Iridium%20additional%20first%20cut%20requiremen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ramex.sharepoint.com/sites/Finance/docs/income_statements/2022/Adaptive%20Consolidation/12-Dec22%20Package%20A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1"/>
      <sheetName val="SCHEDULE 1"/>
      <sheetName val="Prov. fr bad debts"/>
      <sheetName val="SCHEDULE 3"/>
      <sheetName val="SCHEDULE 4"/>
      <sheetName val="SCHEDULE 5"/>
      <sheetName val="SCHEDULE 6-WH"/>
      <sheetName val="SCHEDULE 6-Normal"/>
      <sheetName val="SCHEDULE 6-Total"/>
      <sheetName val="SCHEDULE 7"/>
      <sheetName val="SCHEDULE 8"/>
      <sheetName val="SCHEDULE 9"/>
      <sheetName val="Prov-Income Tax"/>
      <sheetName val="Deffered Tax"/>
      <sheetName val="SCHEDULE 11"/>
      <sheetName val="Non-Controlling Interest"/>
      <sheetName val="Cash proceeds Entries"/>
      <sheetName val="IPC Investment in GDA"/>
    </sheetNames>
    <sheetDataSet>
      <sheetData sheetId="0">
        <row r="7">
          <cell r="D7">
            <v>77083.109845469953</v>
          </cell>
        </row>
      </sheetData>
      <sheetData sheetId="1">
        <row r="7">
          <cell r="D7">
            <v>44507.500966342086</v>
          </cell>
        </row>
      </sheetData>
      <sheetData sheetId="2">
        <row r="8">
          <cell r="B8">
            <v>128.93615613628845</v>
          </cell>
        </row>
      </sheetData>
      <sheetData sheetId="3">
        <row r="7">
          <cell r="D7">
            <v>0</v>
          </cell>
        </row>
      </sheetData>
      <sheetData sheetId="4">
        <row r="6">
          <cell r="D6">
            <v>12449.364484546995</v>
          </cell>
        </row>
      </sheetData>
      <sheetData sheetId="5">
        <row r="7">
          <cell r="E7">
            <v>17167.061812023709</v>
          </cell>
        </row>
      </sheetData>
      <sheetData sheetId="6">
        <row r="35">
          <cell r="E35">
            <v>0</v>
          </cell>
        </row>
      </sheetData>
      <sheetData sheetId="7"/>
      <sheetData sheetId="8">
        <row r="35">
          <cell r="E35">
            <v>68575.604520895358</v>
          </cell>
        </row>
      </sheetData>
      <sheetData sheetId="9">
        <row r="32">
          <cell r="F32">
            <v>0</v>
          </cell>
        </row>
      </sheetData>
      <sheetData sheetId="10">
        <row r="8">
          <cell r="F8">
            <v>1069.9674281410066</v>
          </cell>
        </row>
      </sheetData>
      <sheetData sheetId="11">
        <row r="6">
          <cell r="D6">
            <v>281.89524978831497</v>
          </cell>
        </row>
      </sheetData>
      <sheetData sheetId="12">
        <row r="7">
          <cell r="B7">
            <v>2572.4246333664778</v>
          </cell>
        </row>
      </sheetData>
      <sheetData sheetId="13">
        <row r="7">
          <cell r="B7">
            <v>-17445.203761164405</v>
          </cell>
        </row>
      </sheetData>
      <sheetData sheetId="14">
        <row r="8">
          <cell r="B8">
            <v>47664.272001323181</v>
          </cell>
        </row>
      </sheetData>
      <sheetData sheetId="15">
        <row r="4">
          <cell r="D4">
            <v>95785.394511798455</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Chart Analysis"/>
      <sheetName val="data"/>
      <sheetName val="Chart data"/>
    </sheetNames>
    <sheetDataSet>
      <sheetData sheetId="0">
        <row r="30">
          <cell r="C30" t="str">
            <v>U.S Dollars</v>
          </cell>
        </row>
        <row r="33">
          <cell r="B33">
            <v>1</v>
          </cell>
        </row>
        <row r="36">
          <cell r="B36">
            <v>2</v>
          </cell>
        </row>
      </sheetData>
      <sheetData sheetId="1"/>
      <sheetData sheetId="2" refreshError="1"/>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21 vs Bud'21-Month"/>
      <sheetName val="Act'21 vs Bud'21-QTD"/>
      <sheetName val="Act'21 vs Bud'21-YTD"/>
      <sheetName val="Act'21 vs Bud'21-Apr+May"/>
      <sheetName val="Act'21 vs Act'20-Month"/>
      <sheetName val="Act'21 vs Act'20-QTD"/>
      <sheetName val="Act'21 vs Act'20-YTD"/>
      <sheetName val="Act'21 vs Act'20-Apr+May"/>
      <sheetName val="Act'20 Month by Month"/>
      <sheetName val="Bonus Summary"/>
      <sheetName val="Act Vs last year and Bud"/>
      <sheetName val="Condensed P&amp;L"/>
      <sheetName val="Act'21 vs Bud'21-Month EBIT"/>
      <sheetName val="Act'21 vs Bud'21-QTD EBIT"/>
      <sheetName val="Act'21 vs Bud'21-YTD EBIT"/>
      <sheetName val="Act'21 vs Bud'21-Apr+May EBIT"/>
      <sheetName val="Act'21 vs Act'20-Month EBIT"/>
      <sheetName val="Act'21 vs Act'20-QTD EBIT"/>
      <sheetName val="Act'21 vs Act'20-YTD EBIT"/>
      <sheetName val="Act'21 vs Act'20-Apr+May EBIT"/>
      <sheetName val="vs Budget Template"/>
      <sheetName val="vs last year template"/>
      <sheetName val="Apr+May template"/>
      <sheetName val="2021 vs 2020 vs 19 "/>
      <sheetName val="EBITDA"/>
      <sheetName val="Bonus "/>
      <sheetName val="Commission"/>
      <sheetName val="Lease payments"/>
      <sheetName val="Ratio"/>
      <sheetName val="Report Data"/>
      <sheetName val="Report Info"/>
    </sheetNames>
    <sheetDataSet>
      <sheetData sheetId="0"/>
      <sheetData sheetId="1"/>
      <sheetData sheetId="2"/>
      <sheetData sheetId="3"/>
      <sheetData sheetId="4">
        <row r="11">
          <cell r="D11">
            <v>108.74514159433467</v>
          </cell>
        </row>
      </sheetData>
      <sheetData sheetId="5">
        <row r="11">
          <cell r="D11">
            <v>274959.11761870037</v>
          </cell>
        </row>
      </sheetData>
      <sheetData sheetId="6">
        <row r="11">
          <cell r="D11">
            <v>250907.69581892149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22 vs Act'21-Month"/>
      <sheetName val="Act'22 vs Bud'22-Month"/>
      <sheetName val="Act'22 vs Bud'22-QTD"/>
      <sheetName val="Act'22 vs Bud'22-YTD"/>
      <sheetName val="Act'22 vs Act'21-QTD"/>
      <sheetName val="Act'22 vs Act'21-YTD"/>
      <sheetName val="Act'22 Month by Month"/>
      <sheetName val="Act'22 vs Bud'22-Month EBIT"/>
      <sheetName val="Act'22 vs Bud'22-QTD EBIT"/>
      <sheetName val="Act'22 vs Bud'22-YTD EBIT"/>
      <sheetName val="Act'22 vs Act'21-Month EBIT"/>
      <sheetName val="Act'22 vs Act'21-QTD EBIT"/>
      <sheetName val="Act'22 vs Act'21-YTD EBIT"/>
      <sheetName val="Extraordinary items - split"/>
      <sheetName val="Extraordinary items"/>
      <sheetName val="Sheet1"/>
      <sheetName val="vs Budget Template"/>
      <sheetName val="vs last year template"/>
      <sheetName val="2022 vs 2021 vs 20 "/>
      <sheetName val="EBITDA"/>
      <sheetName val="BEY Impact"/>
      <sheetName val="Bonus "/>
      <sheetName val="Commission"/>
      <sheetName val="Avg Rev &amp; Cost Dec"/>
      <sheetName val="Avg Rev &amp; Cost per Month-data"/>
      <sheetName val="Other Revenue &amp; Cost Allocation"/>
      <sheetName val="FW other revenue &amp; Cost"/>
      <sheetName val="Report Data"/>
      <sheetName val="Report Info"/>
    </sheetNames>
    <sheetDataSet>
      <sheetData sheetId="0" refreshError="1"/>
      <sheetData sheetId="1">
        <row r="63">
          <cell r="D63">
            <v>4630.0050055128831</v>
          </cell>
        </row>
      </sheetData>
      <sheetData sheetId="2">
        <row r="63">
          <cell r="D63">
            <v>11909.141858992421</v>
          </cell>
        </row>
      </sheetData>
      <sheetData sheetId="3">
        <row r="63">
          <cell r="D63">
            <v>47718.703440466525</v>
          </cell>
        </row>
      </sheetData>
      <sheetData sheetId="4">
        <row r="11">
          <cell r="D11">
            <v>145506.69547721327</v>
          </cell>
        </row>
      </sheetData>
      <sheetData sheetId="5">
        <row r="11">
          <cell r="D11">
            <v>592420.63642031956</v>
          </cell>
        </row>
      </sheetData>
      <sheetData sheetId="6"/>
      <sheetData sheetId="7">
        <row r="29">
          <cell r="D29">
            <v>130740.88973456628</v>
          </cell>
        </row>
      </sheetData>
      <sheetData sheetId="8">
        <row r="8">
          <cell r="D8" t="str">
            <v>For 3 months ended</v>
          </cell>
        </row>
      </sheetData>
      <sheetData sheetId="9">
        <row r="8">
          <cell r="D8" t="str">
            <v>For the period ended</v>
          </cell>
        </row>
      </sheetData>
      <sheetData sheetId="10">
        <row r="3">
          <cell r="B3" t="str">
            <v>Actual 2022 vs. 2021</v>
          </cell>
        </row>
      </sheetData>
      <sheetData sheetId="11">
        <row r="29">
          <cell r="D29">
            <v>397830.64215905406</v>
          </cell>
        </row>
      </sheetData>
      <sheetData sheetId="12">
        <row r="29">
          <cell r="D29">
            <v>1593651.3210628564</v>
          </cell>
        </row>
      </sheetData>
      <sheetData sheetId="13"/>
      <sheetData sheetId="14">
        <row r="89">
          <cell r="C89">
            <v>6328.8118374575542</v>
          </cell>
        </row>
      </sheetData>
      <sheetData sheetId="15"/>
      <sheetData sheetId="16"/>
      <sheetData sheetId="17"/>
      <sheetData sheetId="18"/>
      <sheetData sheetId="19"/>
      <sheetData sheetId="20"/>
      <sheetData sheetId="21"/>
      <sheetData sheetId="22"/>
      <sheetData sheetId="23"/>
      <sheetData sheetId="24"/>
      <sheetData sheetId="25">
        <row r="9">
          <cell r="R9">
            <v>62.701700000000002</v>
          </cell>
        </row>
      </sheetData>
      <sheetData sheetId="26">
        <row r="20">
          <cell r="R20">
            <v>11869.225800153165</v>
          </cell>
        </row>
      </sheetData>
      <sheetData sheetId="27">
        <row r="7">
          <cell r="F7">
            <v>635014826.09339154</v>
          </cell>
        </row>
      </sheetData>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at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Minorities &amp; Disc Ops"/>
      <sheetName val="Geographic Ownership"/>
      <sheetName val="Underlying P&amp;L"/>
      <sheetName val="XRates"/>
    </sheetNames>
    <sheetDataSet>
      <sheetData sheetId="0" refreshError="1"/>
      <sheetData sheetId="1" refreshError="1"/>
      <sheetData sheetId="2" refreshError="1"/>
      <sheetData sheetId="3" refreshError="1"/>
      <sheetData sheetId="4" refreshError="1">
        <row r="1">
          <cell r="B1">
            <v>3.6726000000000001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22 vs Bud'22-Month"/>
      <sheetName val="Act'22 vs Bud'22-QTD"/>
      <sheetName val="Act'22 vs Bud'22-YTD"/>
      <sheetName val="Act'22 vs Act'21-Month"/>
      <sheetName val="Act'22 vs Act'21-QTD"/>
      <sheetName val="Act'22 vs Act'21-YTD"/>
      <sheetName val="Act'22 Month by Month"/>
      <sheetName val="Act'22 vs Bud'22-Month EBIT"/>
      <sheetName val="Act'22 vs Bud'22-QTD EBIT"/>
      <sheetName val="Act'22 vs Bud'22-YTD EBIT"/>
      <sheetName val="Act'22 vs Act'21-Month EBIT"/>
      <sheetName val="Act'22 vs Act'21-QTD EBIT"/>
      <sheetName val="Act'22 vs Act'21-YTD EBIT"/>
      <sheetName val="Extraordinary items - split"/>
      <sheetName val="Extraordinary items"/>
      <sheetName val="vs Budget Template"/>
      <sheetName val="vs last year template"/>
      <sheetName val="2022 vs 2021 vs 20 "/>
      <sheetName val="EBITDA"/>
      <sheetName val="BEY Impact"/>
      <sheetName val="Bonus "/>
      <sheetName val="Commission"/>
      <sheetName val="Avg Rev &amp; Cost Dec"/>
      <sheetName val="Avg Rev &amp; Cost per Month-data"/>
      <sheetName val="Other Revenue &amp; Cost Allocation"/>
      <sheetName val="FW other revenue &amp; Cost"/>
      <sheetName val="Report Data"/>
      <sheetName val="Report Info"/>
    </sheetNames>
    <sheetDataSet>
      <sheetData sheetId="0" refreshError="1"/>
      <sheetData sheetId="1" refreshError="1"/>
      <sheetData sheetId="2">
        <row r="11">
          <cell r="F11">
            <v>829391.24151965044</v>
          </cell>
        </row>
      </sheetData>
      <sheetData sheetId="3" refreshError="1"/>
      <sheetData sheetId="4" refreshError="1"/>
      <sheetData sheetId="5">
        <row r="11">
          <cell r="D11">
            <v>612341.41110031959</v>
          </cell>
        </row>
      </sheetData>
      <sheetData sheetId="6" refreshError="1"/>
      <sheetData sheetId="7" refreshError="1"/>
      <sheetData sheetId="8" refreshError="1"/>
      <sheetData sheetId="9" refreshError="1"/>
      <sheetData sheetId="10" refreshError="1"/>
      <sheetData sheetId="11">
        <row r="93">
          <cell r="D93">
            <v>5811173</v>
          </cell>
          <cell r="F93">
            <v>6052494</v>
          </cell>
        </row>
        <row r="98">
          <cell r="D98">
            <v>26477337</v>
          </cell>
          <cell r="F98">
            <v>29436845</v>
          </cell>
        </row>
      </sheetData>
      <sheetData sheetId="12">
        <row r="29">
          <cell r="D29">
            <v>1613572.0957428564</v>
          </cell>
        </row>
        <row r="93">
          <cell r="D93">
            <v>22204852</v>
          </cell>
          <cell r="F93">
            <v>25756639</v>
          </cell>
        </row>
        <row r="98">
          <cell r="D98">
            <v>100068521</v>
          </cell>
          <cell r="F98">
            <v>108226277.00000001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325B-E0D0-464D-8BAD-9986BD29D38E}">
  <dimension ref="A1:BI50"/>
  <sheetViews>
    <sheetView showGridLines="0" tabSelected="1" zoomScaleNormal="100" workbookViewId="0">
      <selection activeCell="M34" sqref="M34"/>
    </sheetView>
  </sheetViews>
  <sheetFormatPr defaultColWidth="9.140625" defaultRowHeight="12.75" x14ac:dyDescent="0.2"/>
  <cols>
    <col min="1" max="2" width="9.140625" style="20"/>
    <col min="3" max="3" width="25.5703125" style="20" bestFit="1" customWidth="1"/>
    <col min="4" max="16384" width="9.140625" style="20"/>
  </cols>
  <sheetData>
    <row r="1" spans="1:61" x14ac:dyDescent="0.2">
      <c r="A1" s="177">
        <v>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row>
    <row r="2" spans="1:61" x14ac:dyDescent="0.2">
      <c r="A2" s="177">
        <f>1/3.6726</f>
        <v>0.27228666339922669</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row>
    <row r="3" spans="1:61" x14ac:dyDescent="0.2">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row>
    <row r="4" spans="1:61" x14ac:dyDescent="0.2">
      <c r="A4" s="177" t="str">
        <f>B5</f>
        <v>USD</v>
      </c>
      <c r="B4" s="179" t="s">
        <v>0</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row>
    <row r="5" spans="1:61" x14ac:dyDescent="0.2">
      <c r="A5" s="177">
        <f>IF(B5="AED",A1,A2)</f>
        <v>0.27228666339922669</v>
      </c>
      <c r="B5" s="178" t="s">
        <v>316</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row>
    <row r="6" spans="1:61" x14ac:dyDescent="0.2">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row>
    <row r="7" spans="1:61" x14ac:dyDescent="0.2">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row>
    <row r="8" spans="1:61" x14ac:dyDescent="0.2">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row>
    <row r="9" spans="1:61" x14ac:dyDescent="0.2">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row>
    <row r="10" spans="1:61" ht="51" x14ac:dyDescent="0.75">
      <c r="A10" s="178"/>
      <c r="B10" s="178"/>
      <c r="C10" s="178"/>
      <c r="D10" s="178"/>
      <c r="E10" s="178"/>
      <c r="F10" s="13" t="s">
        <v>317</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row>
    <row r="11" spans="1:61" x14ac:dyDescent="0.2">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row>
    <row r="12" spans="1:61" x14ac:dyDescent="0.2">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row>
    <row r="13" spans="1:61" x14ac:dyDescent="0.2">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row>
    <row r="14" spans="1:61" x14ac:dyDescent="0.2">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row>
    <row r="15" spans="1:61" ht="15" x14ac:dyDescent="0.25">
      <c r="A15" s="178"/>
      <c r="B15" s="178"/>
      <c r="C15" s="14" t="s">
        <v>1</v>
      </c>
      <c r="D15" s="14"/>
      <c r="E15" s="14"/>
      <c r="F15" s="14"/>
      <c r="G15" s="14"/>
      <c r="H15" s="14"/>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row>
    <row r="16" spans="1:61" ht="15" x14ac:dyDescent="0.25">
      <c r="A16" s="178"/>
      <c r="B16" s="178"/>
      <c r="C16" s="14" t="s">
        <v>2</v>
      </c>
      <c r="D16" s="14" t="s">
        <v>3</v>
      </c>
      <c r="E16" s="14"/>
      <c r="F16" s="14"/>
      <c r="G16" s="14"/>
      <c r="H16" s="14" t="s">
        <v>4</v>
      </c>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row>
    <row r="17" spans="1:61" ht="15" x14ac:dyDescent="0.25">
      <c r="A17" s="178"/>
      <c r="B17" s="178"/>
      <c r="C17" s="14" t="s">
        <v>5</v>
      </c>
      <c r="D17" s="14" t="s">
        <v>6</v>
      </c>
      <c r="E17" s="14"/>
      <c r="F17" s="14"/>
      <c r="G17" s="14"/>
      <c r="H17" s="14" t="s">
        <v>7</v>
      </c>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row>
    <row r="18" spans="1:61" ht="15" x14ac:dyDescent="0.25">
      <c r="A18" s="178"/>
      <c r="B18" s="178"/>
      <c r="C18" s="14"/>
      <c r="D18" s="14"/>
      <c r="E18" s="14"/>
      <c r="F18" s="14"/>
      <c r="G18" s="14"/>
      <c r="H18" s="14"/>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row>
    <row r="19" spans="1:61" ht="15" x14ac:dyDescent="0.25">
      <c r="A19" s="178"/>
      <c r="B19" s="178"/>
      <c r="C19" s="14"/>
      <c r="D19" s="14"/>
      <c r="E19" s="14"/>
      <c r="F19" s="14"/>
      <c r="G19" s="14"/>
      <c r="H19" s="14"/>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row>
    <row r="20" spans="1:61" ht="15" x14ac:dyDescent="0.25">
      <c r="A20" s="178"/>
      <c r="B20" s="178"/>
      <c r="C20" s="14"/>
      <c r="D20" s="14"/>
      <c r="E20" s="14"/>
      <c r="F20" s="14"/>
      <c r="G20" s="14"/>
      <c r="H20" s="14"/>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row>
    <row r="21" spans="1:61" x14ac:dyDescent="0.2">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row>
    <row r="22" spans="1:61" x14ac:dyDescent="0.2">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row>
    <row r="23" spans="1:61" x14ac:dyDescent="0.2">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row>
    <row r="24" spans="1:61" x14ac:dyDescent="0.2">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row>
    <row r="25" spans="1:61" x14ac:dyDescent="0.2">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row>
    <row r="26" spans="1:61" x14ac:dyDescent="0.2">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row>
    <row r="27" spans="1:61" x14ac:dyDescent="0.2">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row>
    <row r="28" spans="1:61" x14ac:dyDescent="0.2">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row>
    <row r="29" spans="1:61" x14ac:dyDescent="0.2">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row>
    <row r="30" spans="1:61" x14ac:dyDescent="0.2">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row>
    <row r="31" spans="1:61" x14ac:dyDescent="0.2">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row>
    <row r="32" spans="1:61" x14ac:dyDescent="0.2">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row>
    <row r="33" spans="1:61" x14ac:dyDescent="0.2">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row>
    <row r="34" spans="1:61" x14ac:dyDescent="0.2">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row>
    <row r="35" spans="1:61" x14ac:dyDescent="0.2">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c r="BF35" s="178"/>
      <c r="BG35" s="178"/>
      <c r="BH35" s="178"/>
      <c r="BI35" s="178"/>
    </row>
    <row r="36" spans="1:61" x14ac:dyDescent="0.2">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row>
    <row r="37" spans="1:61" x14ac:dyDescent="0.2">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row>
    <row r="38" spans="1:61" x14ac:dyDescent="0.2">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row>
    <row r="39" spans="1:61" x14ac:dyDescent="0.2">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row>
    <row r="40" spans="1:61" x14ac:dyDescent="0.2">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row>
    <row r="41" spans="1:61" x14ac:dyDescent="0.2">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row>
    <row r="42" spans="1:61" x14ac:dyDescent="0.2">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row>
    <row r="43" spans="1:61" x14ac:dyDescent="0.2">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row>
    <row r="44" spans="1:61" x14ac:dyDescent="0.2">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row>
    <row r="45" spans="1:61" x14ac:dyDescent="0.2">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row>
    <row r="46" spans="1:61" x14ac:dyDescent="0.2">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row>
    <row r="47" spans="1:61" x14ac:dyDescent="0.2">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row>
    <row r="48" spans="1:61" x14ac:dyDescent="0.2">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row>
    <row r="49" spans="1:25" x14ac:dyDescent="0.2">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row>
    <row r="50" spans="1:25" x14ac:dyDescent="0.2">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row>
  </sheetData>
  <dataValidations count="1">
    <dataValidation type="list" allowBlank="1" showInputMessage="1" showErrorMessage="1" sqref="B5" xr:uid="{3A326A52-03CA-485E-BF5D-A4909B4F22A5}">
      <formula1>"AED, USD"</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55B9-69DF-4BD5-9234-10549B0E832D}">
  <dimension ref="A1:AD29"/>
  <sheetViews>
    <sheetView showGridLines="0" workbookViewId="0">
      <pane xSplit="2" ySplit="6" topLeftCell="H7" activePane="bottomRight" state="frozen"/>
      <selection pane="topRight" activeCell="P28" sqref="P28"/>
      <selection pane="bottomLeft" activeCell="P28" sqref="P28"/>
      <selection pane="bottomRight" activeCell="M36" sqref="M36"/>
    </sheetView>
  </sheetViews>
  <sheetFormatPr defaultColWidth="9.140625" defaultRowHeight="12.75" x14ac:dyDescent="0.2"/>
  <cols>
    <col min="1" max="1" width="9.140625" style="20"/>
    <col min="2" max="2" width="38.42578125" style="20" customWidth="1"/>
    <col min="3" max="3" width="18.140625" style="20" customWidth="1"/>
    <col min="4" max="6" width="13.28515625" style="20" bestFit="1" customWidth="1"/>
    <col min="7" max="7" width="13.28515625" style="20" customWidth="1"/>
    <col min="8" max="8" width="12.140625" style="20" customWidth="1"/>
    <col min="9" max="11" width="12.7109375" style="20" bestFit="1" customWidth="1"/>
    <col min="12" max="12" width="12.7109375" style="20" customWidth="1"/>
    <col min="13" max="13" width="13.28515625" style="20" customWidth="1"/>
    <col min="14" max="14" width="9.140625" style="20"/>
    <col min="15" max="15" width="25.28515625" style="20" bestFit="1" customWidth="1"/>
    <col min="16" max="18" width="9.140625" style="20"/>
    <col min="19" max="19" width="2.140625" style="20" customWidth="1"/>
    <col min="20" max="20" width="15.5703125" style="20" customWidth="1"/>
    <col min="21" max="21" width="16.5703125" style="20" customWidth="1"/>
    <col min="22" max="22" width="9.140625" style="20"/>
    <col min="23" max="23" width="12.85546875" style="20" bestFit="1" customWidth="1"/>
    <col min="24" max="25" width="9.140625" style="20"/>
    <col min="26" max="26" width="15.5703125" style="20" customWidth="1"/>
    <col min="27" max="27" width="16.5703125" style="20" customWidth="1"/>
    <col min="28" max="28" width="9.140625" style="20"/>
    <col min="29" max="29" width="12.85546875" style="20" bestFit="1" customWidth="1"/>
    <col min="30" max="16384" width="9.140625" style="20"/>
  </cols>
  <sheetData>
    <row r="1" spans="1:30" x14ac:dyDescent="0.2">
      <c r="A1" s="177">
        <f>'2022 IR Data Book'!$A$5</f>
        <v>0.27228666339922669</v>
      </c>
    </row>
    <row r="2" spans="1:30" x14ac:dyDescent="0.2">
      <c r="A2" s="177"/>
      <c r="R2" s="160"/>
    </row>
    <row r="3" spans="1:30" ht="15" x14ac:dyDescent="0.25">
      <c r="B3" s="70"/>
      <c r="R3" s="160"/>
    </row>
    <row r="4" spans="1:30" x14ac:dyDescent="0.2">
      <c r="B4" s="72" t="s">
        <v>20</v>
      </c>
      <c r="C4" s="72"/>
      <c r="D4" s="73"/>
      <c r="E4" s="72"/>
      <c r="F4" s="72"/>
      <c r="G4" s="72"/>
      <c r="H4" s="72"/>
      <c r="I4" s="73"/>
      <c r="J4" s="73"/>
      <c r="K4" s="73"/>
      <c r="L4" s="73"/>
      <c r="M4" s="261" t="s">
        <v>21</v>
      </c>
      <c r="N4" s="261"/>
      <c r="O4" s="261" t="s">
        <v>21</v>
      </c>
      <c r="P4" s="261"/>
      <c r="R4" s="160"/>
      <c r="W4" s="261" t="s">
        <v>21</v>
      </c>
      <c r="X4" s="261"/>
      <c r="Y4" s="71"/>
      <c r="AC4" s="261" t="s">
        <v>21</v>
      </c>
      <c r="AD4" s="261"/>
    </row>
    <row r="5" spans="1:30" x14ac:dyDescent="0.2">
      <c r="B5" s="140"/>
      <c r="C5" s="75" t="s">
        <v>22</v>
      </c>
      <c r="D5" s="75" t="s">
        <v>23</v>
      </c>
      <c r="E5" s="75" t="s">
        <v>24</v>
      </c>
      <c r="F5" s="75" t="s">
        <v>25</v>
      </c>
      <c r="G5" s="75">
        <v>2021</v>
      </c>
      <c r="H5" s="75" t="s">
        <v>27</v>
      </c>
      <c r="I5" s="75" t="s">
        <v>28</v>
      </c>
      <c r="J5" s="75" t="s">
        <v>275</v>
      </c>
      <c r="K5" s="75" t="s">
        <v>303</v>
      </c>
      <c r="L5" s="75">
        <v>2022</v>
      </c>
      <c r="M5" s="75" t="str">
        <f>+'Aramex Courier'!M5</f>
        <v>Q4 22 vs Q4 21</v>
      </c>
      <c r="N5" s="75" t="s">
        <v>29</v>
      </c>
      <c r="O5" s="75" t="str">
        <f>+'Aramex Courier'!O5</f>
        <v>Dec YTD 2022 vs Dec YTD 2021</v>
      </c>
      <c r="P5" s="75" t="s">
        <v>29</v>
      </c>
      <c r="R5" s="160"/>
      <c r="U5" s="75" t="s">
        <v>25</v>
      </c>
      <c r="V5" s="75" t="s">
        <v>303</v>
      </c>
      <c r="W5" s="75" t="s">
        <v>304</v>
      </c>
      <c r="X5" s="75" t="s">
        <v>29</v>
      </c>
      <c r="AA5" s="75">
        <v>2021</v>
      </c>
      <c r="AB5" s="75">
        <v>2022</v>
      </c>
      <c r="AC5" s="75" t="s">
        <v>319</v>
      </c>
      <c r="AD5" s="75" t="s">
        <v>29</v>
      </c>
    </row>
    <row r="6" spans="1:30" x14ac:dyDescent="0.2">
      <c r="B6" s="76"/>
      <c r="C6" s="76"/>
      <c r="D6" s="76"/>
      <c r="E6" s="76"/>
      <c r="F6" s="76"/>
      <c r="G6" s="76"/>
      <c r="H6" s="76"/>
      <c r="I6" s="76"/>
      <c r="J6" s="76"/>
      <c r="K6" s="76"/>
      <c r="L6" s="76"/>
      <c r="M6" s="76"/>
      <c r="N6" s="76"/>
      <c r="O6" s="76"/>
      <c r="P6" s="76"/>
      <c r="Q6" s="76"/>
      <c r="R6" s="160"/>
      <c r="X6" s="76"/>
      <c r="AD6" s="76"/>
    </row>
    <row r="7" spans="1:30" x14ac:dyDescent="0.2">
      <c r="B7" s="211" t="s">
        <v>175</v>
      </c>
      <c r="C7" s="200">
        <f>104585.74155785*('2022 IR Data Book'!$A$5)</f>
        <v>28477.302607920814</v>
      </c>
      <c r="D7" s="200">
        <f>108808.981524708*('2022 IR Data Book'!$A$5)</f>
        <v>29627.234527230841</v>
      </c>
      <c r="E7" s="200">
        <f>108445.010175879*('2022 IR Data Book'!$A$5)</f>
        <v>29528.129983085277</v>
      </c>
      <c r="F7" s="200">
        <f>113016.407797778*('2022 IR Data Book'!$A$5)</f>
        <v>30772.860588623316</v>
      </c>
      <c r="G7" s="200">
        <f>SUM(C7:F7)</f>
        <v>118405.52770686024</v>
      </c>
      <c r="H7" s="200">
        <f>112105.259668336*('2022 IR Data Book'!$A$5)</f>
        <v>30524.76710459511</v>
      </c>
      <c r="I7" s="200">
        <f>111756.154186905*('2022 IR Data Book'!$A$5)</f>
        <v>30429.710337881879</v>
      </c>
      <c r="J7" s="200">
        <f>110474.513920355*(('2022 IR Data Book'!$A$5))</f>
        <v>30080.736786024889</v>
      </c>
      <c r="K7" s="200">
        <f>110958.438357582*(('2022 IR Data Book'!$A$5))</f>
        <v>30212.502956374774</v>
      </c>
      <c r="L7" s="200">
        <f>SUM(H7:K7)</f>
        <v>121247.71718487664</v>
      </c>
      <c r="M7" s="201">
        <f>(K7-F7)</f>
        <v>-560.35763224854236</v>
      </c>
      <c r="N7" s="202">
        <f>M7/F7</f>
        <v>-1.8209474892162146E-2</v>
      </c>
      <c r="O7" s="201">
        <f>L7-G7</f>
        <v>2842.1894780164002</v>
      </c>
      <c r="P7" s="202">
        <f>O7/G7</f>
        <v>2.4003858038223396E-2</v>
      </c>
      <c r="R7" s="160"/>
      <c r="T7" s="211" t="s">
        <v>175</v>
      </c>
      <c r="U7" s="200">
        <f>113016.407797778*(('2022 IR Data Book'!$A$5))</f>
        <v>30772.860588623316</v>
      </c>
      <c r="V7" s="200">
        <f>110958.438357582*(('2022 IR Data Book'!$A$5))</f>
        <v>30212.502956374774</v>
      </c>
      <c r="W7" s="201">
        <f>V7-U7</f>
        <v>-560.35763224854236</v>
      </c>
      <c r="X7" s="202">
        <f>W7/U7</f>
        <v>-1.8209474892162146E-2</v>
      </c>
      <c r="Z7" s="211" t="s">
        <v>175</v>
      </c>
      <c r="AA7" s="200">
        <f>434856.141056215*(('2022 IR Data Book'!$A$5))</f>
        <v>118405.52770686024</v>
      </c>
      <c r="AB7" s="200">
        <f>445294.366133178*(('2022 IR Data Book'!$A$5))</f>
        <v>121247.71718487664</v>
      </c>
      <c r="AC7" s="201">
        <f>AB7-AA7</f>
        <v>2842.1894780164002</v>
      </c>
      <c r="AD7" s="202">
        <f>AC7/AA7</f>
        <v>2.4003858038223396E-2</v>
      </c>
    </row>
    <row r="8" spans="1:30" x14ac:dyDescent="0.2">
      <c r="B8" s="212" t="s">
        <v>178</v>
      </c>
      <c r="C8" s="203">
        <f>86553.9529170147*('2022 IR Data Book'!$A$5)</f>
        <v>23567.487043787696</v>
      </c>
      <c r="D8" s="203">
        <f>101894.161962373*('2022 IR Data Book'!$A$5)</f>
        <v>27744.421380594944</v>
      </c>
      <c r="E8" s="203">
        <f>94777.1994902576*('2022 IR Data Book'!$A$5)</f>
        <v>25806.567415525129</v>
      </c>
      <c r="F8" s="203">
        <f>109153.581456482*('2022 IR Data Book'!$A$5)</f>
        <v>29721.064492861187</v>
      </c>
      <c r="G8" s="203">
        <f>SUM(C8:F8)</f>
        <v>106839.54033276896</v>
      </c>
      <c r="H8" s="203">
        <f>98842.8369854852*('2022 IR Data Book'!$A$5)</f>
        <v>26913.586283691446</v>
      </c>
      <c r="I8" s="203">
        <f>83311.6154577578*('2022 IR Data Book'!$A$5)</f>
        <v>22684.641795392308</v>
      </c>
      <c r="J8" s="203">
        <f>101858.873435182*(('2022 IR Data Book'!$A$5))</f>
        <v>27734.812785269834</v>
      </c>
      <c r="K8" s="203">
        <f>94262.2586567196*(('2022 IR Data Book'!$A$5))</f>
        <v>25666.35589411305</v>
      </c>
      <c r="L8" s="203">
        <f>SUM(H8:K8)</f>
        <v>102999.39675846664</v>
      </c>
      <c r="M8" s="204">
        <f>(K8-F8)</f>
        <v>-4054.7085987481369</v>
      </c>
      <c r="N8" s="205">
        <f>M8/F8</f>
        <v>-0.13642541638177369</v>
      </c>
      <c r="O8" s="204">
        <f>L8-G8</f>
        <v>-3840.1435743023176</v>
      </c>
      <c r="P8" s="205">
        <f>O8/G8</f>
        <v>-3.5943093374808353E-2</v>
      </c>
      <c r="R8" s="160"/>
      <c r="T8" s="212" t="s">
        <v>178</v>
      </c>
      <c r="U8" s="203">
        <f>103828.311456482*(('2022 IR Data Book'!$A$5))</f>
        <v>28271.064492861187</v>
      </c>
      <c r="V8" s="203">
        <f>90200.903157582*(('2022 IR Data Book'!$A$5))</f>
        <v>24560.502956374774</v>
      </c>
      <c r="W8" s="204">
        <f t="shared" ref="W8:W14" si="0">V8-U8</f>
        <v>-3710.5615364864134</v>
      </c>
      <c r="X8" s="205">
        <f>W8/U8</f>
        <v>-0.13124944543292236</v>
      </c>
      <c r="Z8" s="212" t="s">
        <v>178</v>
      </c>
      <c r="AA8" s="203">
        <f>387053.625826127*(('2022 IR Data Book'!$A$5))</f>
        <v>105389.54033276888</v>
      </c>
      <c r="AB8" s="203">
        <f>368044.261036007*(('2022 IR Data Book'!$A$5))</f>
        <v>100213.54382072837</v>
      </c>
      <c r="AC8" s="204">
        <f t="shared" ref="AC8:AC9" si="1">AB8-AA8</f>
        <v>-5175.9965120405104</v>
      </c>
      <c r="AD8" s="205">
        <f>AC8/AA8</f>
        <v>-4.9113000167732318E-2</v>
      </c>
    </row>
    <row r="9" spans="1:30" x14ac:dyDescent="0.2">
      <c r="B9" s="211" t="s">
        <v>179</v>
      </c>
      <c r="C9" s="200">
        <f t="shared" ref="C9:I9" si="2">C7-C8</f>
        <v>4909.8155641331177</v>
      </c>
      <c r="D9" s="200">
        <f t="shared" si="2"/>
        <v>1882.8131466358973</v>
      </c>
      <c r="E9" s="200">
        <f t="shared" si="2"/>
        <v>3721.5625675601477</v>
      </c>
      <c r="F9" s="200">
        <f t="shared" si="2"/>
        <v>1051.796095762129</v>
      </c>
      <c r="G9" s="200">
        <f t="shared" si="2"/>
        <v>11565.987374091288</v>
      </c>
      <c r="H9" s="200">
        <f t="shared" si="2"/>
        <v>3611.1808209036644</v>
      </c>
      <c r="I9" s="200">
        <f t="shared" si="2"/>
        <v>7745.068542489571</v>
      </c>
      <c r="J9" s="200">
        <f t="shared" ref="J9:L9" si="3">J7-J8</f>
        <v>2345.9240007550543</v>
      </c>
      <c r="K9" s="200">
        <f t="shared" si="3"/>
        <v>4546.1470622617235</v>
      </c>
      <c r="L9" s="200">
        <f t="shared" si="3"/>
        <v>18248.320426410006</v>
      </c>
      <c r="M9" s="213">
        <f>(K9-F9)</f>
        <v>3494.3509664995945</v>
      </c>
      <c r="N9" s="202">
        <f>M9/F9</f>
        <v>3.3222703341255473</v>
      </c>
      <c r="O9" s="200">
        <f>L9-G9</f>
        <v>6682.3330523187178</v>
      </c>
      <c r="P9" s="202">
        <f>O9/G9</f>
        <v>0.57775724944051587</v>
      </c>
      <c r="R9" s="160"/>
      <c r="T9" s="211" t="s">
        <v>179</v>
      </c>
      <c r="U9" s="200">
        <f>U7-U8</f>
        <v>2501.796095762129</v>
      </c>
      <c r="V9" s="200">
        <f>V7-V8</f>
        <v>5652</v>
      </c>
      <c r="W9" s="213">
        <f t="shared" si="0"/>
        <v>3150.203904237871</v>
      </c>
      <c r="X9" s="202">
        <f>W9/U9</f>
        <v>1.2591769207626875</v>
      </c>
      <c r="Z9" s="211" t="s">
        <v>179</v>
      </c>
      <c r="AA9" s="200">
        <f>AA7-AA8</f>
        <v>13015.987374091361</v>
      </c>
      <c r="AB9" s="200">
        <f>AB7-AB8</f>
        <v>21034.173364148272</v>
      </c>
      <c r="AC9" s="213">
        <f t="shared" si="1"/>
        <v>8018.1859900569107</v>
      </c>
      <c r="AD9" s="202">
        <f>AC9/AA9</f>
        <v>0.61602595021083872</v>
      </c>
    </row>
    <row r="10" spans="1:30" x14ac:dyDescent="0.2">
      <c r="B10" s="214" t="s">
        <v>180</v>
      </c>
      <c r="C10" s="206">
        <f t="shared" ref="C10:I10" si="4">C9/C7</f>
        <v>0.17241153882206098</v>
      </c>
      <c r="D10" s="206">
        <f t="shared" si="4"/>
        <v>6.3550080751052729E-2</v>
      </c>
      <c r="E10" s="206">
        <f t="shared" si="4"/>
        <v>0.12603448202415751</v>
      </c>
      <c r="F10" s="206">
        <f t="shared" si="4"/>
        <v>3.4179341005138031E-2</v>
      </c>
      <c r="G10" s="206">
        <f t="shared" si="4"/>
        <v>9.7681143761510145E-2</v>
      </c>
      <c r="H10" s="206">
        <f t="shared" si="4"/>
        <v>0.11830330460932649</v>
      </c>
      <c r="I10" s="206">
        <f t="shared" si="4"/>
        <v>0.25452324246569485</v>
      </c>
      <c r="J10" s="206">
        <f t="shared" ref="J10:L10" si="5">J9/J7</f>
        <v>7.7987584461193762E-2</v>
      </c>
      <c r="K10" s="206">
        <f t="shared" si="5"/>
        <v>0.15047237459359508</v>
      </c>
      <c r="L10" s="206">
        <f t="shared" si="5"/>
        <v>0.15050444536275473</v>
      </c>
      <c r="M10" s="206"/>
      <c r="N10" s="206"/>
      <c r="O10" s="206"/>
      <c r="P10" s="206"/>
      <c r="R10" s="160"/>
      <c r="T10" s="214" t="s">
        <v>180</v>
      </c>
      <c r="U10" s="206">
        <f>U9/U7</f>
        <v>8.1298782365622504E-2</v>
      </c>
      <c r="V10" s="206">
        <f>V9/V7</f>
        <v>0.18707486791680861</v>
      </c>
      <c r="W10" s="206"/>
      <c r="X10" s="206"/>
      <c r="Z10" s="214" t="s">
        <v>180</v>
      </c>
      <c r="AA10" s="206">
        <f>AA9/AA7</f>
        <v>0.10992719365531135</v>
      </c>
      <c r="AB10" s="206">
        <f>AB9/AB7</f>
        <v>0.1734809846528961</v>
      </c>
      <c r="AC10" s="206"/>
      <c r="AD10" s="206"/>
    </row>
    <row r="11" spans="1:30" x14ac:dyDescent="0.2">
      <c r="B11" s="215"/>
      <c r="C11" s="207"/>
      <c r="D11" s="207"/>
      <c r="E11" s="207"/>
      <c r="F11" s="207"/>
      <c r="G11" s="207"/>
      <c r="H11" s="207"/>
      <c r="I11" s="207"/>
      <c r="J11" s="207"/>
      <c r="K11" s="207"/>
      <c r="L11" s="207"/>
      <c r="M11" s="208"/>
      <c r="N11" s="205"/>
      <c r="O11" s="208"/>
      <c r="P11" s="205"/>
      <c r="R11" s="160"/>
      <c r="T11" s="215"/>
      <c r="U11" s="207"/>
      <c r="V11" s="207"/>
      <c r="W11" s="208"/>
      <c r="X11" s="205"/>
      <c r="Z11" s="215"/>
      <c r="AA11" s="207"/>
      <c r="AB11" s="207"/>
      <c r="AC11" s="208"/>
      <c r="AD11" s="205"/>
    </row>
    <row r="12" spans="1:30" x14ac:dyDescent="0.2">
      <c r="B12" s="216" t="s">
        <v>181</v>
      </c>
      <c r="C12" s="209">
        <f>5702.3992194531*('2022 IR Data Book'!$A$5)</f>
        <v>1552.6872568352394</v>
      </c>
      <c r="D12" s="209">
        <f>-5088.39048845237*('2022 IR Data Book'!$A$5)</f>
        <v>-1385.5008681730571</v>
      </c>
      <c r="E12" s="209">
        <f>5816.40331765882*('2022 IR Data Book'!$A$5)</f>
        <v>1583.7290523495126</v>
      </c>
      <c r="F12" s="209">
        <f>15858.7549284546*('2022 IR Data Book'!$A$5)</f>
        <v>4318.1274651349449</v>
      </c>
      <c r="G12" s="209">
        <f>SUM(C12:F12)</f>
        <v>6069.0429061466402</v>
      </c>
      <c r="H12" s="209">
        <f>5884.6276069966*('2022 IR Data Book'!$A$5)</f>
        <v>1602.3056164560801</v>
      </c>
      <c r="I12" s="209">
        <f>5179.84324275896*('2022 IR Data Book'!$A$5)</f>
        <v>1410.4022335018676</v>
      </c>
      <c r="J12" s="209">
        <f>-6206.96170339434*(('2022 IR Data Book'!$A$5))</f>
        <v>-1690.0728920640254</v>
      </c>
      <c r="K12" s="209">
        <f>2370.47325971081*(('2022 IR Data Book'!$A$5))</f>
        <v>645.44825456374497</v>
      </c>
      <c r="L12" s="209">
        <f>SUM(H12:K12)</f>
        <v>1968.0832124576671</v>
      </c>
      <c r="M12" s="209">
        <f>(K12-F12)</f>
        <v>-3672.6792105712002</v>
      </c>
      <c r="N12" s="210">
        <f>M12/F12</f>
        <v>-0.85052589119353983</v>
      </c>
      <c r="O12" s="209">
        <f>L12-G12</f>
        <v>-4100.9596936889729</v>
      </c>
      <c r="P12" s="210">
        <f>O12/G12</f>
        <v>-0.6757176966957309</v>
      </c>
      <c r="R12" s="160"/>
      <c r="T12" s="216" t="s">
        <v>181</v>
      </c>
      <c r="U12" s="209">
        <f>-5872.0192715454*(('2022 IR Data Book'!$A$5))</f>
        <v>-1598.8725348650548</v>
      </c>
      <c r="V12" s="209">
        <f>6431.8287588484*(('2022 IR Data Book'!$A$5))</f>
        <v>1751.3011923020204</v>
      </c>
      <c r="W12" s="209">
        <f t="shared" si="0"/>
        <v>3350.1737271670754</v>
      </c>
      <c r="X12" s="210">
        <f>-W12/U12</f>
        <v>2.0953350902671115</v>
      </c>
      <c r="Z12" s="216" t="s">
        <v>181</v>
      </c>
      <c r="AA12" s="209">
        <f>-6052.28722288585*(('2022 IR Data Book'!$A$5))</f>
        <v>-1647.9570938533598</v>
      </c>
      <c r="AB12" s="209">
        <f>17459.3059052096*(('2022 IR Data Book'!$A$5))</f>
        <v>4753.9361501959374</v>
      </c>
      <c r="AC12" s="209">
        <f t="shared" ref="AC11:AC12" si="6">AB12-AA12</f>
        <v>6401.8932440492972</v>
      </c>
      <c r="AD12" s="210">
        <f>-AC12/AA12</f>
        <v>3.8847450992064223</v>
      </c>
    </row>
    <row r="13" spans="1:30" x14ac:dyDescent="0.2">
      <c r="B13" s="217" t="s">
        <v>182</v>
      </c>
      <c r="C13" s="206">
        <f t="shared" ref="C13:I13" si="7">C12/C7</f>
        <v>5.4523677267220086E-2</v>
      </c>
      <c r="D13" s="206">
        <f t="shared" si="7"/>
        <v>-4.6764434490152031E-2</v>
      </c>
      <c r="E13" s="206">
        <f t="shared" si="7"/>
        <v>5.3634586858589649E-2</v>
      </c>
      <c r="F13" s="206">
        <f t="shared" si="7"/>
        <v>0.14032258888311966</v>
      </c>
      <c r="G13" s="206">
        <f t="shared" si="7"/>
        <v>5.1256415335371279E-2</v>
      </c>
      <c r="H13" s="206">
        <f t="shared" si="7"/>
        <v>5.2491984982741234E-2</v>
      </c>
      <c r="I13" s="206">
        <f t="shared" si="7"/>
        <v>4.634951229706781E-2</v>
      </c>
      <c r="J13" s="206">
        <f t="shared" ref="J13:L13" si="8">J12/J7</f>
        <v>-5.6184557714996225E-2</v>
      </c>
      <c r="K13" s="206">
        <f t="shared" si="8"/>
        <v>2.1363614113525699E-2</v>
      </c>
      <c r="L13" s="206">
        <f t="shared" si="8"/>
        <v>1.6231919727253619E-2</v>
      </c>
      <c r="M13" s="206"/>
      <c r="N13" s="206"/>
      <c r="O13" s="206"/>
      <c r="P13" s="206"/>
      <c r="R13" s="160"/>
      <c r="T13" s="217" t="s">
        <v>182</v>
      </c>
      <c r="U13" s="206">
        <f>U12/U7</f>
        <v>-5.1957228034112492E-2</v>
      </c>
      <c r="V13" s="206">
        <f>V12/V7</f>
        <v>5.7966107436739182E-2</v>
      </c>
      <c r="W13" s="206"/>
      <c r="X13" s="206"/>
      <c r="Z13" s="217" t="s">
        <v>182</v>
      </c>
      <c r="AA13" s="206">
        <f>AA12/AA7</f>
        <v>-1.3917906754600608E-2</v>
      </c>
      <c r="AB13" s="206">
        <f>AB12/AB7</f>
        <v>3.9208459017395017E-2</v>
      </c>
      <c r="AC13" s="206"/>
      <c r="AD13" s="206"/>
    </row>
    <row r="14" spans="1:30" x14ac:dyDescent="0.2">
      <c r="B14" s="216" t="s">
        <v>183</v>
      </c>
      <c r="C14" s="209">
        <f>25987.4230939523*('2022 IR Data Book'!$A$5)</f>
        <v>7076.02872459628</v>
      </c>
      <c r="D14" s="209">
        <f>17185.0201260158*('2022 IR Data Book'!$A$5)</f>
        <v>4679.2517905614004</v>
      </c>
      <c r="E14" s="209">
        <f>28918.9802275479*('2022 IR Data Book'!$A$5)</f>
        <v>7874.2526350672279</v>
      </c>
      <c r="F14" s="209">
        <f>38201.4024157444*('2022 IR Data Book'!$A$5)</f>
        <v>10401.732400954201</v>
      </c>
      <c r="G14" s="209">
        <f>SUM(C14:F14)</f>
        <v>30031.265551179109</v>
      </c>
      <c r="H14" s="209">
        <f>28854.0524476527*('2022 IR Data Book'!$A$5)</f>
        <v>7856.5736665176437</v>
      </c>
      <c r="I14" s="209">
        <f>26975.4387801771*('2022 IR Data Book'!$A$5)</f>
        <v>7345.0522191845284</v>
      </c>
      <c r="J14" s="209">
        <f>14985.8032363457*(('2022 IR Data Book'!$A$5))</f>
        <v>4080.4343615819039</v>
      </c>
      <c r="K14" s="209">
        <f>24392.0568135464*(('2022 IR Data Book'!$A$5))</f>
        <v>6641.6317632049222</v>
      </c>
      <c r="L14" s="209">
        <f>SUM(H14:K14)</f>
        <v>25923.692010488998</v>
      </c>
      <c r="M14" s="209">
        <f>(K14-F14)</f>
        <v>-3760.1006377492786</v>
      </c>
      <c r="N14" s="210">
        <f>M14/F14</f>
        <v>-0.36148792266606922</v>
      </c>
      <c r="O14" s="209">
        <f>L14-G14</f>
        <v>-4107.5735406901113</v>
      </c>
      <c r="P14" s="210">
        <f>O14/G14</f>
        <v>-0.13677657152643161</v>
      </c>
      <c r="R14" s="160"/>
      <c r="T14" s="216" t="s">
        <v>183</v>
      </c>
      <c r="U14" s="209">
        <f>16470.6282157444*(('2022 IR Data Book'!$A$5))</f>
        <v>4484.7324009542008</v>
      </c>
      <c r="V14" s="209">
        <f>28453.412312684*(('2022 IR Data Book'!$A$5))</f>
        <v>7747.4847009432006</v>
      </c>
      <c r="W14" s="209">
        <f t="shared" si="0"/>
        <v>3262.7522999889998</v>
      </c>
      <c r="X14" s="210">
        <f>W14/U14</f>
        <v>0.72752441133272416</v>
      </c>
      <c r="Z14" s="216" t="s">
        <v>183</v>
      </c>
      <c r="AA14" s="209">
        <f>81951.3716632604*(('2022 IR Data Book'!$A$5))</f>
        <v>22314.265551179109</v>
      </c>
      <c r="AB14" s="209">
        <f>105438.674776859*(('2022 IR Data Book'!$A$5))</f>
        <v>28709.54494822714</v>
      </c>
      <c r="AC14" s="209">
        <f t="shared" ref="AC14" si="9">AB14-AA14</f>
        <v>6395.2793970480307</v>
      </c>
      <c r="AD14" s="210">
        <f>AC14/AA14</f>
        <v>0.28660048803219956</v>
      </c>
    </row>
    <row r="15" spans="1:30" x14ac:dyDescent="0.2">
      <c r="B15" s="217" t="s">
        <v>184</v>
      </c>
      <c r="C15" s="206">
        <f t="shared" ref="C15:I15" si="10">C14/C7</f>
        <v>0.24847959871831818</v>
      </c>
      <c r="D15" s="206">
        <f t="shared" si="10"/>
        <v>0.15793751476401313</v>
      </c>
      <c r="E15" s="206">
        <f t="shared" si="10"/>
        <v>0.26666953307161234</v>
      </c>
      <c r="F15" s="206">
        <f t="shared" si="10"/>
        <v>0.33801642752704331</v>
      </c>
      <c r="G15" s="206">
        <f t="shared" si="10"/>
        <v>0.25363060435428592</v>
      </c>
      <c r="H15" s="206">
        <f t="shared" si="10"/>
        <v>0.25738357444617288</v>
      </c>
      <c r="I15" s="206">
        <f t="shared" si="10"/>
        <v>0.24137765813829287</v>
      </c>
      <c r="J15" s="206">
        <f t="shared" ref="J15:L15" si="11">J14/J7</f>
        <v>0.13564941545838796</v>
      </c>
      <c r="K15" s="206">
        <f t="shared" si="11"/>
        <v>0.21983057056858482</v>
      </c>
      <c r="L15" s="206">
        <f t="shared" si="11"/>
        <v>0.21380767087730776</v>
      </c>
      <c r="R15" s="160"/>
      <c r="T15" s="217" t="s">
        <v>184</v>
      </c>
      <c r="U15" s="206">
        <f>U14/U7</f>
        <v>0.14573661060981116</v>
      </c>
      <c r="V15" s="206">
        <f>V14/V7</f>
        <v>0.25643306389179843</v>
      </c>
      <c r="Z15" s="217" t="s">
        <v>184</v>
      </c>
      <c r="AA15" s="206">
        <f>AA14/AA7</f>
        <v>0.18845628226431402</v>
      </c>
      <c r="AB15" s="206">
        <f>AB14/AB7</f>
        <v>0.23678421016744811</v>
      </c>
    </row>
    <row r="16" spans="1:30" x14ac:dyDescent="0.2">
      <c r="R16" s="160"/>
    </row>
    <row r="17" spans="3:28" x14ac:dyDescent="0.2">
      <c r="C17" s="257"/>
      <c r="AB17" s="28"/>
    </row>
    <row r="18" spans="3:28" x14ac:dyDescent="0.2">
      <c r="C18" s="28"/>
    </row>
    <row r="21" spans="3:28" x14ac:dyDescent="0.2">
      <c r="U21" s="257"/>
      <c r="V21" s="257"/>
      <c r="AA21" s="257"/>
      <c r="AB21" s="257"/>
    </row>
    <row r="22" spans="3:28" x14ac:dyDescent="0.2">
      <c r="E22" s="257"/>
      <c r="U22" s="257"/>
      <c r="V22" s="257"/>
      <c r="AA22" s="257"/>
      <c r="AB22" s="257"/>
    </row>
    <row r="23" spans="3:28" x14ac:dyDescent="0.2">
      <c r="U23" s="257"/>
      <c r="V23" s="257"/>
      <c r="AA23" s="257"/>
      <c r="AB23" s="257"/>
    </row>
    <row r="25" spans="3:28" x14ac:dyDescent="0.2">
      <c r="U25" s="257"/>
      <c r="V25" s="257"/>
      <c r="AA25" s="257"/>
      <c r="AB25" s="257"/>
    </row>
    <row r="26" spans="3:28" x14ac:dyDescent="0.2">
      <c r="U26" s="257"/>
      <c r="V26" s="257"/>
      <c r="AA26" s="257"/>
      <c r="AB26" s="257"/>
    </row>
    <row r="28" spans="3:28" x14ac:dyDescent="0.2">
      <c r="U28" s="257"/>
      <c r="V28" s="257"/>
      <c r="AA28" s="257"/>
      <c r="AB28" s="257"/>
    </row>
    <row r="29" spans="3:28" x14ac:dyDescent="0.2">
      <c r="U29" s="257"/>
      <c r="V29" s="257"/>
      <c r="AA29" s="257"/>
      <c r="AB29" s="257"/>
    </row>
  </sheetData>
  <mergeCells count="4">
    <mergeCell ref="M4:N4"/>
    <mergeCell ref="O4:P4"/>
    <mergeCell ref="W4:X4"/>
    <mergeCell ref="AC4:AD4"/>
  </mergeCells>
  <pageMargins left="0.7" right="0.7" top="0.75" bottom="0.75" header="0.3" footer="0.3"/>
  <pageSetup paperSize="9" orientation="portrait" r:id="rId1"/>
  <ignoredErrors>
    <ignoredError sqref="G13 L13"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1D16-02DC-4DFE-AC93-0F17B5F0735F}">
  <dimension ref="A1:Q248"/>
  <sheetViews>
    <sheetView showGridLines="0" workbookViewId="0">
      <selection activeCell="S5" sqref="S5"/>
    </sheetView>
  </sheetViews>
  <sheetFormatPr defaultColWidth="9.140625" defaultRowHeight="12.75" x14ac:dyDescent="0.2"/>
  <cols>
    <col min="1" max="1" width="3.28515625" style="20" customWidth="1"/>
    <col min="2" max="2" width="37.28515625" style="20" bestFit="1" customWidth="1"/>
    <col min="3" max="3" width="15" style="20" customWidth="1"/>
    <col min="4" max="4" width="8.5703125" style="20" bestFit="1" customWidth="1"/>
    <col min="5" max="5" width="13.5703125" style="20" bestFit="1" customWidth="1"/>
    <col min="6" max="6" width="17.42578125" style="20" bestFit="1" customWidth="1"/>
    <col min="7" max="7" width="10.5703125" style="28" bestFit="1" customWidth="1"/>
    <col min="8" max="8" width="10.5703125" style="20" bestFit="1" customWidth="1"/>
    <col min="9" max="10" width="9.28515625" style="20" bestFit="1" customWidth="1"/>
    <col min="11" max="11" width="37.28515625" style="20" bestFit="1" customWidth="1"/>
    <col min="12" max="12" width="15.5703125" style="20" bestFit="1" customWidth="1"/>
    <col min="13" max="13" width="6" style="20" bestFit="1" customWidth="1"/>
    <col min="14" max="14" width="13.5703125" style="20" bestFit="1" customWidth="1"/>
    <col min="15" max="15" width="11" style="20" bestFit="1" customWidth="1"/>
    <col min="16" max="16" width="10.5703125" style="28" bestFit="1" customWidth="1"/>
    <col min="17" max="17" width="11" style="20" bestFit="1" customWidth="1"/>
    <col min="18" max="16384" width="9.140625" style="20"/>
  </cols>
  <sheetData>
    <row r="1" spans="1:17" x14ac:dyDescent="0.2">
      <c r="A1" s="177">
        <f>'2022 IR Data Book'!$A$5</f>
        <v>0.27228666339922669</v>
      </c>
      <c r="B1" s="264" t="s">
        <v>308</v>
      </c>
      <c r="K1" s="264" t="s">
        <v>309</v>
      </c>
    </row>
    <row r="2" spans="1:17" x14ac:dyDescent="0.2">
      <c r="B2" s="71" t="s">
        <v>192</v>
      </c>
      <c r="C2" s="2"/>
      <c r="I2" s="160"/>
      <c r="K2" s="71" t="s">
        <v>192</v>
      </c>
    </row>
    <row r="3" spans="1:17" x14ac:dyDescent="0.2">
      <c r="G3" s="229"/>
      <c r="I3" s="160"/>
      <c r="K3" s="58"/>
    </row>
    <row r="4" spans="1:17" x14ac:dyDescent="0.2">
      <c r="B4" s="50"/>
      <c r="I4" s="160"/>
      <c r="K4" s="50"/>
    </row>
    <row r="5" spans="1:17" x14ac:dyDescent="0.2">
      <c r="C5" s="158" t="s">
        <v>203</v>
      </c>
      <c r="D5" s="141"/>
      <c r="E5" s="158" t="s">
        <v>203</v>
      </c>
      <c r="I5" s="160"/>
      <c r="L5" s="158" t="s">
        <v>203</v>
      </c>
      <c r="M5" s="141"/>
      <c r="N5" s="158" t="s">
        <v>203</v>
      </c>
    </row>
    <row r="6" spans="1:17" x14ac:dyDescent="0.2">
      <c r="B6" s="142"/>
      <c r="C6" s="158" t="s">
        <v>306</v>
      </c>
      <c r="D6" s="141"/>
      <c r="E6" s="158" t="s">
        <v>69</v>
      </c>
      <c r="G6" s="185" t="s">
        <v>204</v>
      </c>
      <c r="H6" s="158" t="s">
        <v>29</v>
      </c>
      <c r="I6" s="160"/>
      <c r="K6" s="142"/>
      <c r="L6" s="158" t="s">
        <v>310</v>
      </c>
      <c r="M6" s="141"/>
      <c r="N6" s="158" t="s">
        <v>311</v>
      </c>
      <c r="P6" s="185" t="s">
        <v>204</v>
      </c>
      <c r="Q6" s="158" t="s">
        <v>29</v>
      </c>
    </row>
    <row r="7" spans="1:17" ht="6.75" customHeight="1" x14ac:dyDescent="0.2">
      <c r="H7" s="143"/>
      <c r="I7" s="160"/>
      <c r="Q7" s="143"/>
    </row>
    <row r="8" spans="1:17" x14ac:dyDescent="0.2">
      <c r="B8" s="20" t="s">
        <v>205</v>
      </c>
      <c r="C8" s="87">
        <f>49873.798072876*((('2022 IR Data Book'!$A$5)))</f>
        <v>13579.970068310189</v>
      </c>
      <c r="D8" s="144">
        <f>C8/$C$14</f>
        <v>0.25633671510363726</v>
      </c>
      <c r="E8" s="87">
        <f>31409.2375727541*((('2022 IR Data Book'!$A$5)))</f>
        <v>8552.3164985988406</v>
      </c>
      <c r="F8" s="144">
        <f>E8/$E$14</f>
        <v>0.19799885393336464</v>
      </c>
      <c r="G8" s="146">
        <f>C8-E8</f>
        <v>5027.6535697113486</v>
      </c>
      <c r="H8" s="145">
        <f>(C8/E8)-1</f>
        <v>0.58787038231513633</v>
      </c>
      <c r="I8" s="160"/>
      <c r="K8" s="20" t="s">
        <v>205</v>
      </c>
      <c r="L8" s="87">
        <f>193818.429690125*((('2022 IR Data Book'!$A$5)))</f>
        <v>52774.173525601749</v>
      </c>
      <c r="M8" s="144">
        <f>L8/$L$14</f>
        <v>0.24958537901644967</v>
      </c>
      <c r="N8" s="87">
        <f>209867.249316747*((('2022 IR Data Book'!$A$5)))</f>
        <v>57144.05307323068</v>
      </c>
      <c r="O8" s="144">
        <f>N8/$N$14</f>
        <v>0.27972277120363903</v>
      </c>
      <c r="P8" s="146">
        <f>L8-N8</f>
        <v>-4369.8795476289306</v>
      </c>
      <c r="Q8" s="145">
        <f>(L8/N8)-1</f>
        <v>-7.6471291632549843E-2</v>
      </c>
    </row>
    <row r="9" spans="1:17" x14ac:dyDescent="0.2">
      <c r="B9" s="20" t="s">
        <v>206</v>
      </c>
      <c r="C9" s="87">
        <f>46930.6824261915*((('2022 IR Data Book'!$A$5)))</f>
        <v>12778.598928876409</v>
      </c>
      <c r="D9" s="144">
        <f>C9/$C$14</f>
        <v>0.24120996265661396</v>
      </c>
      <c r="E9" s="87">
        <f>22827.7926715975*((('2022 IR Data Book'!$A$5)))</f>
        <v>6215.7034993186026</v>
      </c>
      <c r="F9" s="144">
        <f>E9/$E$14</f>
        <v>0.14390278580736787</v>
      </c>
      <c r="G9" s="146">
        <f t="shared" ref="G9:G12" si="0">C9-E9</f>
        <v>6562.895429557806</v>
      </c>
      <c r="H9" s="145">
        <f>(C9/E9)-1</f>
        <v>1.0558572219986466</v>
      </c>
      <c r="I9" s="160"/>
      <c r="K9" s="20" t="s">
        <v>206</v>
      </c>
      <c r="L9" s="87">
        <f>178215.769528464*((('2022 IR Data Book'!$A$5)))</f>
        <v>48525.777250031038</v>
      </c>
      <c r="M9" s="144">
        <f t="shared" ref="M9:M12" si="1">L9/$L$14</f>
        <v>0.22949339985668132</v>
      </c>
      <c r="N9" s="87">
        <f>175293.674049548*((('2022 IR Data Book'!$A$5)))</f>
        <v>47730.12962194303</v>
      </c>
      <c r="O9" s="144">
        <f t="shared" ref="O9:O12" si="2">N9/$N$14</f>
        <v>0.2336411824105144</v>
      </c>
      <c r="P9" s="146">
        <f t="shared" ref="P9:P12" si="3">L9-N9</f>
        <v>795.64762808800879</v>
      </c>
      <c r="Q9" s="145">
        <f>(L9/N9)-1</f>
        <v>1.666971437936815E-2</v>
      </c>
    </row>
    <row r="10" spans="1:17" x14ac:dyDescent="0.2">
      <c r="B10" s="20" t="s">
        <v>207</v>
      </c>
      <c r="C10" s="87">
        <f>68679.8080953554*((('2022 IR Data Book'!$A$5)))</f>
        <v>18700.595789183521</v>
      </c>
      <c r="D10" s="144">
        <f>C10/$C$14</f>
        <v>0.35299409873270121</v>
      </c>
      <c r="E10" s="87">
        <f>67679.3142434762*((('2022 IR Data Book'!$A$5)))</f>
        <v>18428.174656503892</v>
      </c>
      <c r="F10" s="144">
        <f>E10/$E$14</f>
        <v>0.42663966688667759</v>
      </c>
      <c r="G10" s="81">
        <f t="shared" si="0"/>
        <v>272.4211326796285</v>
      </c>
      <c r="H10" s="82">
        <f>(C10/E10)-1</f>
        <v>1.478286036232479E-2</v>
      </c>
      <c r="I10" s="160"/>
      <c r="K10" s="20" t="s">
        <v>207</v>
      </c>
      <c r="L10" s="87">
        <f>274588.605040524*((('2022 IR Data Book'!$A$5)))</f>
        <v>74766.815073932361</v>
      </c>
      <c r="M10" s="144">
        <f t="shared" si="1"/>
        <v>0.35359537878935327</v>
      </c>
      <c r="N10" s="87">
        <f>229809.995689665*((('2022 IR Data Book'!$A$5)))</f>
        <v>62574.196942129551</v>
      </c>
      <c r="O10" s="144">
        <f t="shared" si="2"/>
        <v>0.30630357549304277</v>
      </c>
      <c r="P10" s="81">
        <f t="shared" si="3"/>
        <v>12192.61813180281</v>
      </c>
      <c r="Q10" s="82">
        <f>(L10/N10)-1</f>
        <v>0.19485057304177467</v>
      </c>
    </row>
    <row r="11" spans="1:17" x14ac:dyDescent="0.2">
      <c r="B11" s="20" t="s">
        <v>208</v>
      </c>
      <c r="C11" s="87">
        <f>25482.9876881967*((('2022 IR Data Book'!$A$5)))</f>
        <v>6938.6776910626522</v>
      </c>
      <c r="D11" s="144">
        <f>C11/$C$14</f>
        <v>0.13097509328392898</v>
      </c>
      <c r="E11" s="87">
        <f>33685.0255944447*((('2022 IR Data Book'!$A$5)))</f>
        <v>9171.9832256288992</v>
      </c>
      <c r="F11" s="144">
        <f>E11/$E$14</f>
        <v>0.21234506081107923</v>
      </c>
      <c r="G11" s="146">
        <f t="shared" si="0"/>
        <v>-2233.3055345662469</v>
      </c>
      <c r="H11" s="145">
        <f>(C11/E11)-1</f>
        <v>-0.24349210848159997</v>
      </c>
      <c r="I11" s="160"/>
      <c r="K11" s="20" t="s">
        <v>208</v>
      </c>
      <c r="L11" s="87">
        <f>116389.145916744*((('2022 IR Data Book'!$A$5)))</f>
        <v>31691.212197555953</v>
      </c>
      <c r="M11" s="144">
        <f t="shared" si="1"/>
        <v>0.14987753818599561</v>
      </c>
      <c r="N11" s="87">
        <f>125423.352884132*((('2022 IR Data Book'!$A$5)))</f>
        <v>34151.106269164076</v>
      </c>
      <c r="O11" s="144">
        <f t="shared" si="2"/>
        <v>0.16717123780209436</v>
      </c>
      <c r="P11" s="146">
        <f t="shared" si="3"/>
        <v>-2459.8940716081233</v>
      </c>
      <c r="Q11" s="145">
        <f>(L11/N11)-1</f>
        <v>-7.2029703876071105E-2</v>
      </c>
    </row>
    <row r="12" spans="1:17" x14ac:dyDescent="0.2">
      <c r="B12" s="20" t="s">
        <v>209</v>
      </c>
      <c r="C12" s="87">
        <f>3596.3392053606*((('2022 IR Data Book'!$A$5)))</f>
        <v>979.23520267946401</v>
      </c>
      <c r="D12" s="144">
        <f>C12/$C$14</f>
        <v>1.8484130223118594E-2</v>
      </c>
      <c r="E12" s="87">
        <f>3032.06111589342*((('2022 IR Data Book'!$A$5)))</f>
        <v>825.5898044691553</v>
      </c>
      <c r="F12" s="144">
        <f>E12/$E$14</f>
        <v>1.9113632561510625E-2</v>
      </c>
      <c r="G12" s="146">
        <f t="shared" si="0"/>
        <v>153.64539821030871</v>
      </c>
      <c r="H12" s="145">
        <f>(C12/E12)-1</f>
        <v>0.18610379801032173</v>
      </c>
      <c r="I12" s="160"/>
      <c r="K12" s="20" t="s">
        <v>209</v>
      </c>
      <c r="L12" s="87">
        <f>13549.6835781411*((('2022 IR Data Book'!$A$5)))</f>
        <v>3689.398131607335</v>
      </c>
      <c r="M12" s="144">
        <f t="shared" si="1"/>
        <v>1.7448304151520076E-2</v>
      </c>
      <c r="N12" s="87">
        <f>9874.46168389675*((('2022 IR Data Book'!$A$5)))</f>
        <v>2688.6842247717555</v>
      </c>
      <c r="O12" s="144">
        <f t="shared" si="2"/>
        <v>1.3161233090709499E-2</v>
      </c>
      <c r="P12" s="146">
        <f t="shared" si="3"/>
        <v>1000.7139068355796</v>
      </c>
      <c r="Q12" s="145">
        <f>(L12/N12)-1</f>
        <v>0.37219465849342392</v>
      </c>
    </row>
    <row r="13" spans="1:17" x14ac:dyDescent="0.2">
      <c r="C13" s="87"/>
      <c r="D13" s="144"/>
      <c r="E13" s="87"/>
      <c r="F13" s="144"/>
      <c r="G13" s="146"/>
      <c r="H13" s="145"/>
      <c r="I13" s="160"/>
      <c r="L13" s="87"/>
      <c r="M13" s="144"/>
      <c r="N13" s="87"/>
      <c r="O13" s="144"/>
      <c r="P13" s="146"/>
      <c r="Q13" s="145"/>
    </row>
    <row r="14" spans="1:17" x14ac:dyDescent="0.2">
      <c r="B14" s="71" t="s">
        <v>210</v>
      </c>
      <c r="C14" s="88">
        <f>SUM(C8:C12)</f>
        <v>52977.077680112234</v>
      </c>
      <c r="D14" s="144">
        <f>C14/$C$14</f>
        <v>1</v>
      </c>
      <c r="E14" s="88">
        <f>SUM(E8:E12)</f>
        <v>43193.767684519393</v>
      </c>
      <c r="F14" s="144">
        <f>E14/$E$14</f>
        <v>1</v>
      </c>
      <c r="G14" s="147">
        <f>C14-E14</f>
        <v>9783.309995592841</v>
      </c>
      <c r="H14" s="148">
        <f>(C14/E14)-1</f>
        <v>0.22649818527174159</v>
      </c>
      <c r="I14" s="239">
        <f>C14/$C$201</f>
        <v>0.12681483664164053</v>
      </c>
      <c r="K14" s="71" t="s">
        <v>210</v>
      </c>
      <c r="L14" s="88">
        <f>SUM(L8:L12)</f>
        <v>211447.37617872845</v>
      </c>
      <c r="M14" s="144">
        <f>L14/$L$14</f>
        <v>1</v>
      </c>
      <c r="N14" s="88">
        <f>SUM(N8:N12)</f>
        <v>204288.17013123908</v>
      </c>
      <c r="O14" s="144">
        <f>N14/$N$14</f>
        <v>1</v>
      </c>
      <c r="P14" s="147">
        <f>L14-N14</f>
        <v>7159.206047489366</v>
      </c>
      <c r="Q14" s="148">
        <f>(L14/N14)-1</f>
        <v>3.5044643274694476E-2</v>
      </c>
    </row>
    <row r="15" spans="1:17" x14ac:dyDescent="0.2">
      <c r="C15" s="87">
        <v>0</v>
      </c>
      <c r="D15" s="149"/>
      <c r="E15" s="87">
        <v>0</v>
      </c>
      <c r="F15" s="149"/>
      <c r="G15" s="186"/>
      <c r="H15" s="145"/>
      <c r="I15" s="239">
        <f>E14/$E$201</f>
        <v>9.8435649817741777E-2</v>
      </c>
      <c r="L15" s="87">
        <v>0</v>
      </c>
      <c r="M15" s="149"/>
      <c r="N15" s="87">
        <v>0</v>
      </c>
      <c r="O15" s="149"/>
      <c r="P15" s="186"/>
      <c r="Q15" s="145"/>
    </row>
    <row r="16" spans="1:17" x14ac:dyDescent="0.2">
      <c r="B16" s="71" t="s">
        <v>33</v>
      </c>
      <c r="C16" s="88">
        <f>55198.1268909387*((('2022 IR Data Book'!$A$5)))</f>
        <v>15029.71379702083</v>
      </c>
      <c r="D16" s="144">
        <f>C16/$C$14</f>
        <v>0.28370220584407646</v>
      </c>
      <c r="E16" s="88">
        <f>21877.8969734131*((('2022 IR Data Book'!$A$5)))</f>
        <v>5957.0595690826931</v>
      </c>
      <c r="F16" s="144">
        <f>E16/$E$14</f>
        <v>0.13791479392564537</v>
      </c>
      <c r="G16" s="147">
        <f>C16-E16</f>
        <v>9072.6542279381356</v>
      </c>
      <c r="H16" s="148">
        <f>(C16/E16)-1</f>
        <v>1.5230088137821332</v>
      </c>
      <c r="I16" s="160"/>
      <c r="K16" s="71" t="s">
        <v>33</v>
      </c>
      <c r="L16" s="88">
        <f>218283.684767057*((('2022 IR Data Book'!$A$5)))</f>
        <v>59435.736199710562</v>
      </c>
      <c r="M16" s="144">
        <f>L16/$L$14</f>
        <v>0.28108996798083596</v>
      </c>
      <c r="N16" s="88">
        <f>204453.556143726*((('2022 IR Data Book'!$A$5)))</f>
        <v>55669.976622481612</v>
      </c>
      <c r="O16" s="144">
        <f>N16/$N$14</f>
        <v>0.272507099097897</v>
      </c>
      <c r="P16" s="147">
        <f>L16-N16</f>
        <v>3765.7595772289496</v>
      </c>
      <c r="Q16" s="148">
        <f>(L16/N16)-1</f>
        <v>6.7644353486367326E-2</v>
      </c>
    </row>
    <row r="17" spans="2:17" x14ac:dyDescent="0.2">
      <c r="B17" s="71"/>
      <c r="C17" s="228">
        <f>C16/1000</f>
        <v>15.029713797020829</v>
      </c>
      <c r="D17" s="150"/>
      <c r="E17" s="88"/>
      <c r="F17" s="150"/>
      <c r="G17" s="187"/>
      <c r="H17" s="148"/>
      <c r="I17" s="160"/>
      <c r="K17" s="71"/>
      <c r="L17" s="88"/>
      <c r="M17" s="150"/>
      <c r="N17" s="88"/>
      <c r="O17" s="150"/>
      <c r="P17" s="187"/>
      <c r="Q17" s="148"/>
    </row>
    <row r="18" spans="2:17" x14ac:dyDescent="0.2">
      <c r="B18" s="71"/>
      <c r="C18" s="88"/>
      <c r="D18" s="150"/>
      <c r="E18" s="88"/>
      <c r="F18" s="150"/>
      <c r="G18" s="187"/>
      <c r="H18" s="148"/>
      <c r="I18" s="160"/>
      <c r="K18" s="71"/>
      <c r="L18" s="88"/>
      <c r="M18" s="150"/>
      <c r="N18" s="88"/>
      <c r="O18" s="150"/>
      <c r="P18" s="187"/>
      <c r="Q18" s="148"/>
    </row>
    <row r="19" spans="2:17" x14ac:dyDescent="0.2">
      <c r="B19" s="71" t="s">
        <v>211</v>
      </c>
      <c r="C19" s="158" t="str">
        <f>$C$6</f>
        <v>Q4'22</v>
      </c>
      <c r="D19" s="141"/>
      <c r="E19" s="158" t="str">
        <f>$E$6</f>
        <v>Q4'21</v>
      </c>
      <c r="G19" s="185" t="s">
        <v>204</v>
      </c>
      <c r="H19" s="158" t="s">
        <v>29</v>
      </c>
      <c r="I19" s="160"/>
      <c r="K19" s="71" t="s">
        <v>211</v>
      </c>
      <c r="L19" s="158" t="str">
        <f>$L$6</f>
        <v>Dec YTD 2022</v>
      </c>
      <c r="M19" s="141"/>
      <c r="N19" s="158" t="str">
        <f>$N$6</f>
        <v>Dec YTD 2021</v>
      </c>
      <c r="P19" s="185" t="s">
        <v>204</v>
      </c>
      <c r="Q19" s="158" t="s">
        <v>29</v>
      </c>
    </row>
    <row r="20" spans="2:17" x14ac:dyDescent="0.2">
      <c r="B20" s="20" t="s">
        <v>206</v>
      </c>
      <c r="C20" s="85">
        <v>4707544</v>
      </c>
      <c r="D20" s="86"/>
      <c r="E20" s="85">
        <v>4659236</v>
      </c>
      <c r="F20" s="151"/>
      <c r="G20" s="146">
        <f t="shared" ref="G20:G22" si="4">C20-E20</f>
        <v>48308</v>
      </c>
      <c r="H20" s="145">
        <f t="shared" ref="H20:H22" si="5">(C20/E20)-1</f>
        <v>1.0368223459811921E-2</v>
      </c>
      <c r="I20" s="161"/>
      <c r="K20" s="20" t="s">
        <v>206</v>
      </c>
      <c r="L20" s="85">
        <v>17385682</v>
      </c>
      <c r="M20" s="86"/>
      <c r="N20" s="85">
        <v>17180087.450992607</v>
      </c>
      <c r="O20" s="151"/>
      <c r="P20" s="146">
        <f t="shared" ref="P20:P22" si="6">L20-N20</f>
        <v>205594.54900739342</v>
      </c>
      <c r="Q20" s="145">
        <f t="shared" ref="Q20:Q22" si="7">(L20/N20)-1</f>
        <v>1.1967025755478033E-2</v>
      </c>
    </row>
    <row r="21" spans="2:17" x14ac:dyDescent="0.2">
      <c r="B21" s="20" t="s">
        <v>205</v>
      </c>
      <c r="C21" s="85">
        <v>301685</v>
      </c>
      <c r="D21" s="86"/>
      <c r="E21" s="85">
        <v>408572</v>
      </c>
      <c r="F21" s="150"/>
      <c r="G21" s="146">
        <f t="shared" si="4"/>
        <v>-106887</v>
      </c>
      <c r="H21" s="145">
        <f t="shared" si="5"/>
        <v>-0.26161117257178657</v>
      </c>
      <c r="I21" s="160"/>
      <c r="J21" s="139"/>
      <c r="K21" s="20" t="s">
        <v>205</v>
      </c>
      <c r="L21" s="258">
        <v>1265605</v>
      </c>
      <c r="M21" s="84"/>
      <c r="N21" s="258">
        <v>1568734</v>
      </c>
      <c r="O21" s="150"/>
      <c r="P21" s="146">
        <f t="shared" si="6"/>
        <v>-303129</v>
      </c>
      <c r="Q21" s="145">
        <f t="shared" si="7"/>
        <v>-0.19323161224273844</v>
      </c>
    </row>
    <row r="22" spans="2:17" x14ac:dyDescent="0.2">
      <c r="B22" s="152"/>
      <c r="C22" s="153">
        <f>C21+C20</f>
        <v>5009229</v>
      </c>
      <c r="D22" s="152"/>
      <c r="E22" s="153">
        <f>E21+E20</f>
        <v>5067808</v>
      </c>
      <c r="F22" s="152"/>
      <c r="G22" s="146">
        <f t="shared" si="4"/>
        <v>-58579</v>
      </c>
      <c r="H22" s="145">
        <f t="shared" si="5"/>
        <v>-1.1559040910784302E-2</v>
      </c>
      <c r="I22" s="162"/>
      <c r="J22" s="154"/>
      <c r="K22" s="152"/>
      <c r="L22" s="153">
        <f>L21+L20</f>
        <v>18651287</v>
      </c>
      <c r="M22" s="152"/>
      <c r="N22" s="153">
        <f>N21+N20</f>
        <v>18748821.450992607</v>
      </c>
      <c r="O22" s="152"/>
      <c r="P22" s="146">
        <f t="shared" si="6"/>
        <v>-97534.45099260658</v>
      </c>
      <c r="Q22" s="145">
        <f t="shared" si="7"/>
        <v>-5.2021643732408362E-3</v>
      </c>
    </row>
    <row r="23" spans="2:17" x14ac:dyDescent="0.2">
      <c r="I23" s="160"/>
    </row>
    <row r="24" spans="2:17" x14ac:dyDescent="0.2">
      <c r="B24" s="71" t="s">
        <v>212</v>
      </c>
      <c r="I24" s="160"/>
      <c r="K24" s="71" t="s">
        <v>212</v>
      </c>
    </row>
    <row r="25" spans="2:17" x14ac:dyDescent="0.2">
      <c r="B25" s="58"/>
      <c r="I25" s="160"/>
      <c r="K25" s="58"/>
    </row>
    <row r="26" spans="2:17" x14ac:dyDescent="0.2">
      <c r="B26" s="50"/>
      <c r="I26" s="160"/>
      <c r="K26" s="50"/>
    </row>
    <row r="27" spans="2:17" x14ac:dyDescent="0.2">
      <c r="C27" s="158" t="s">
        <v>203</v>
      </c>
      <c r="D27" s="141"/>
      <c r="E27" s="158" t="s">
        <v>203</v>
      </c>
      <c r="I27" s="160"/>
      <c r="L27" s="158" t="s">
        <v>203</v>
      </c>
      <c r="M27" s="141"/>
      <c r="N27" s="158" t="s">
        <v>203</v>
      </c>
    </row>
    <row r="28" spans="2:17" x14ac:dyDescent="0.2">
      <c r="B28" s="142"/>
      <c r="C28" s="158" t="str">
        <f>$C$6</f>
        <v>Q4'22</v>
      </c>
      <c r="D28" s="141"/>
      <c r="E28" s="158" t="str">
        <f>$E$6</f>
        <v>Q4'21</v>
      </c>
      <c r="G28" s="185" t="s">
        <v>204</v>
      </c>
      <c r="H28" s="158" t="s">
        <v>29</v>
      </c>
      <c r="I28" s="160"/>
      <c r="K28" s="142"/>
      <c r="L28" s="158" t="str">
        <f>$L$6</f>
        <v>Dec YTD 2022</v>
      </c>
      <c r="M28" s="141"/>
      <c r="N28" s="158" t="str">
        <f>$N$6</f>
        <v>Dec YTD 2021</v>
      </c>
      <c r="P28" s="185" t="s">
        <v>204</v>
      </c>
      <c r="Q28" s="158" t="s">
        <v>29</v>
      </c>
    </row>
    <row r="29" spans="2:17" x14ac:dyDescent="0.2">
      <c r="H29" s="143"/>
      <c r="I29" s="160"/>
      <c r="Q29" s="143"/>
    </row>
    <row r="30" spans="2:17" x14ac:dyDescent="0.2">
      <c r="B30" s="20" t="s">
        <v>205</v>
      </c>
      <c r="C30" s="87">
        <f>161839.529249748*((('2022 IR Data Book'!$A$5)))</f>
        <v>44066.745425515437</v>
      </c>
      <c r="D30" s="144">
        <f>C30/$C$36</f>
        <v>0.26676612595602661</v>
      </c>
      <c r="E30" s="87">
        <f>161559.290299824*((('2022 IR Data Book'!$A$5)))</f>
        <v>43990.44009688613</v>
      </c>
      <c r="F30" s="144">
        <f>E30/$E$36</f>
        <v>0.28109711851833769</v>
      </c>
      <c r="G30" s="146">
        <f>C30-E30</f>
        <v>76.305328629307041</v>
      </c>
      <c r="H30" s="145">
        <f>(C30/E30)-1</f>
        <v>1.7345888893416372E-3</v>
      </c>
      <c r="I30" s="160"/>
      <c r="K30" s="20" t="s">
        <v>205</v>
      </c>
      <c r="L30" s="87">
        <f>611433.854093965*((('2022 IR Data Book'!$A$5)))</f>
        <v>166485.28402057535</v>
      </c>
      <c r="M30" s="144">
        <f>L30/$L$36</f>
        <v>0.26105872656979867</v>
      </c>
      <c r="N30" s="87">
        <f>681154.4418562*((('2022 IR Data Book'!$A$5)))</f>
        <v>185469.27023258727</v>
      </c>
      <c r="O30" s="144">
        <f>N30/$N$36</f>
        <v>0.31968686249120398</v>
      </c>
      <c r="P30" s="146">
        <f>L30-N30</f>
        <v>-18983.986212011921</v>
      </c>
      <c r="Q30" s="145">
        <f>(L30/N30)-1</f>
        <v>-0.10235650460157142</v>
      </c>
    </row>
    <row r="31" spans="2:17" x14ac:dyDescent="0.2">
      <c r="B31" s="20" t="s">
        <v>206</v>
      </c>
      <c r="C31" s="87">
        <f>149894.964499799*((('2022 IR Data Book'!$A$5)))</f>
        <v>40814.399743995811</v>
      </c>
      <c r="D31" s="144">
        <f t="shared" ref="D31:D34" si="8">C31/$C$36</f>
        <v>0.2470774548424472</v>
      </c>
      <c r="E31" s="87">
        <f>160882.844475243*((('2022 IR Data Book'!$A$5)))</f>
        <v>43806.25292034063</v>
      </c>
      <c r="F31" s="144">
        <f t="shared" ref="F31:F34" si="9">E31/$E$36</f>
        <v>0.27992016997040459</v>
      </c>
      <c r="G31" s="146">
        <f t="shared" ref="G31:G34" si="10">C31-E31</f>
        <v>-2991.8531763448191</v>
      </c>
      <c r="H31" s="145">
        <f>(C31/E31)-1</f>
        <v>-6.8297399957612193E-2</v>
      </c>
      <c r="I31" s="160"/>
      <c r="K31" s="20" t="s">
        <v>206</v>
      </c>
      <c r="L31" s="87">
        <f>592212.866128876*((('2022 IR Data Book'!$A$5)))</f>
        <v>161251.66534032454</v>
      </c>
      <c r="M31" s="144">
        <f>L31/$L$36</f>
        <v>0.25285210436858763</v>
      </c>
      <c r="N31" s="87">
        <f>589107.533072419*((('2022 IR Data Book'!$A$5)))</f>
        <v>160406.12456363856</v>
      </c>
      <c r="O31" s="144">
        <f>N31/$N$36</f>
        <v>0.27648639918524315</v>
      </c>
      <c r="P31" s="146">
        <f t="shared" ref="P31:P34" si="11">L31-N31</f>
        <v>845.5407766859862</v>
      </c>
      <c r="Q31" s="145">
        <f>(L31/N31)-1</f>
        <v>5.2712499537417301E-3</v>
      </c>
    </row>
    <row r="32" spans="2:17" x14ac:dyDescent="0.2">
      <c r="B32" s="20" t="s">
        <v>207</v>
      </c>
      <c r="C32" s="87">
        <f>226086.25407176*((('2022 IR Data Book'!$A$5)))</f>
        <v>61560.271761629359</v>
      </c>
      <c r="D32" s="144">
        <f t="shared" si="8"/>
        <v>0.37266639621498576</v>
      </c>
      <c r="E32" s="87">
        <f>189589.379379683*((('2022 IR Data Book'!$A$5)))</f>
        <v>51622.659527224037</v>
      </c>
      <c r="F32" s="144">
        <f t="shared" si="9"/>
        <v>0.32986668947608577</v>
      </c>
      <c r="G32" s="81">
        <f t="shared" si="10"/>
        <v>9937.6122344053219</v>
      </c>
      <c r="H32" s="82">
        <f>(C32/E32)-1</f>
        <v>0.19250484816971825</v>
      </c>
      <c r="I32" s="160"/>
      <c r="K32" s="20" t="s">
        <v>207</v>
      </c>
      <c r="L32" s="87">
        <f>877032.322889919*((('2022 IR Data Book'!$A$5)))</f>
        <v>238804.20489296928</v>
      </c>
      <c r="M32" s="144">
        <f>L32/$L$36</f>
        <v>0.37445905201547558</v>
      </c>
      <c r="N32" s="87">
        <f>618494.940504339*((('2022 IR Data Book'!$A$5)))</f>
        <v>168407.92367922972</v>
      </c>
      <c r="O32" s="144">
        <f>N32/$N$36</f>
        <v>0.29027881908499409</v>
      </c>
      <c r="P32" s="81">
        <f t="shared" si="11"/>
        <v>70396.281213739567</v>
      </c>
      <c r="Q32" s="82">
        <f>(L32/N32)-1</f>
        <v>0.41801050494408387</v>
      </c>
    </row>
    <row r="33" spans="2:17" x14ac:dyDescent="0.2">
      <c r="B33" s="20" t="s">
        <v>208</v>
      </c>
      <c r="C33" s="87">
        <f>66719.6438396013*((('2022 IR Data Book'!$A$5)))</f>
        <v>18166.869204269806</v>
      </c>
      <c r="D33" s="144">
        <f t="shared" si="8"/>
        <v>0.10997647481283704</v>
      </c>
      <c r="E33" s="87">
        <f>60573.8895976085*((('2022 IR Data Book'!$A$5)))</f>
        <v>16493.462287645943</v>
      </c>
      <c r="F33" s="144">
        <f t="shared" si="9"/>
        <v>0.10539255150066852</v>
      </c>
      <c r="G33" s="146">
        <f t="shared" si="10"/>
        <v>1673.4069166238623</v>
      </c>
      <c r="H33" s="145">
        <f>(C33/E33)-1</f>
        <v>0.10145880152024178</v>
      </c>
      <c r="I33" s="160"/>
      <c r="K33" s="20" t="s">
        <v>208</v>
      </c>
      <c r="L33" s="87">
        <f>253591.528892088*((('2022 IR Data Book'!$A$5)))</f>
        <v>69049.591268335236</v>
      </c>
      <c r="M33" s="144">
        <f>L33/$L$36</f>
        <v>0.10827382415642764</v>
      </c>
      <c r="N33" s="87">
        <f>233615.472562697*((('2022 IR Data Book'!$A$5)))</f>
        <v>63610.377542530354</v>
      </c>
      <c r="O33" s="144">
        <f>N33/$N$36</f>
        <v>0.1096429720834665</v>
      </c>
      <c r="P33" s="146">
        <f t="shared" si="11"/>
        <v>5439.2137258048824</v>
      </c>
      <c r="Q33" s="145">
        <f>(L33/N33)-1</f>
        <v>8.5508276101146974E-2</v>
      </c>
    </row>
    <row r="34" spans="2:17" x14ac:dyDescent="0.2">
      <c r="B34" s="20" t="s">
        <v>209</v>
      </c>
      <c r="C34" s="87">
        <f>2131.57116703116*((('2022 IR Data Book'!$A$5)))</f>
        <v>580.39840086891024</v>
      </c>
      <c r="D34" s="144">
        <f t="shared" si="8"/>
        <v>3.5135481737033937E-3</v>
      </c>
      <c r="E34" s="87">
        <f>2140.04775352204*((('2022 IR Data Book'!$A$5)))</f>
        <v>582.70646232152694</v>
      </c>
      <c r="F34" s="144">
        <f t="shared" si="9"/>
        <v>3.7234705345034714E-3</v>
      </c>
      <c r="G34" s="146">
        <f t="shared" si="10"/>
        <v>-2.3080614526166983</v>
      </c>
      <c r="H34" s="145">
        <f>(C34/E34)-1</f>
        <v>-3.9609333375526523E-3</v>
      </c>
      <c r="I34" s="160"/>
      <c r="K34" s="20" t="s">
        <v>209</v>
      </c>
      <c r="L34" s="87">
        <f>7860.8791362323*((('2022 IR Data Book'!$A$5)))</f>
        <v>2140.4125513892882</v>
      </c>
      <c r="M34" s="144">
        <f>L34/$L$36</f>
        <v>3.3562928897105672E-3</v>
      </c>
      <c r="N34" s="87">
        <f>8320.24212436348*((('2022 IR Data Book'!$A$5)))</f>
        <v>2265.4909667166257</v>
      </c>
      <c r="O34" s="144">
        <f>N34/$N$36</f>
        <v>3.9049471550923862E-3</v>
      </c>
      <c r="P34" s="146">
        <f t="shared" si="11"/>
        <v>-125.07841532733755</v>
      </c>
      <c r="Q34" s="145">
        <f>(L34/N34)-1</f>
        <v>-5.5210290910412962E-2</v>
      </c>
    </row>
    <row r="35" spans="2:17" x14ac:dyDescent="0.2">
      <c r="C35" s="87"/>
      <c r="D35" s="144"/>
      <c r="E35" s="87"/>
      <c r="F35" s="144"/>
      <c r="G35" s="146"/>
      <c r="H35" s="145"/>
      <c r="I35" s="160"/>
      <c r="L35" s="87"/>
      <c r="M35" s="144"/>
      <c r="N35" s="87"/>
      <c r="O35" s="144"/>
      <c r="P35" s="146"/>
      <c r="Q35" s="145"/>
    </row>
    <row r="36" spans="2:17" x14ac:dyDescent="0.2">
      <c r="B36" s="71" t="s">
        <v>210</v>
      </c>
      <c r="C36" s="88">
        <f>SUM(C30:C34)</f>
        <v>165188.68453627932</v>
      </c>
      <c r="D36" s="144">
        <f>C36/$C$36</f>
        <v>1</v>
      </c>
      <c r="E36" s="88">
        <f>SUM(E30:E34)</f>
        <v>156495.52129441826</v>
      </c>
      <c r="F36" s="144">
        <f>E36/$E$36</f>
        <v>1</v>
      </c>
      <c r="G36" s="147">
        <f>C36-E36</f>
        <v>8693.1632418610679</v>
      </c>
      <c r="H36" s="148">
        <f>(C36/E36)-1</f>
        <v>5.5548958653624636E-2</v>
      </c>
      <c r="I36" s="239">
        <f>C36/$C$201</f>
        <v>0.39542339747403321</v>
      </c>
      <c r="K36" s="71" t="s">
        <v>210</v>
      </c>
      <c r="L36" s="88">
        <f>SUM(L30:L34)</f>
        <v>637731.15807359363</v>
      </c>
      <c r="M36" s="144">
        <f>L36/$L$36</f>
        <v>1</v>
      </c>
      <c r="N36" s="88">
        <f>SUM(N30:N34)</f>
        <v>580159.18698470248</v>
      </c>
      <c r="O36" s="144">
        <f>N36/$N$36</f>
        <v>1</v>
      </c>
      <c r="P36" s="147">
        <f>L36-N36</f>
        <v>57571.97108889115</v>
      </c>
      <c r="Q36" s="148">
        <f>(L36/N36)-1</f>
        <v>9.923478310860423E-2</v>
      </c>
    </row>
    <row r="37" spans="2:17" x14ac:dyDescent="0.2">
      <c r="C37" s="87">
        <v>0</v>
      </c>
      <c r="D37" s="149"/>
      <c r="E37" s="87">
        <v>0</v>
      </c>
      <c r="F37" s="149"/>
      <c r="G37" s="186"/>
      <c r="H37" s="145"/>
      <c r="I37" s="239">
        <f>E36/$E$201</f>
        <v>0.35664261670100506</v>
      </c>
      <c r="L37" s="87">
        <v>0</v>
      </c>
      <c r="M37" s="149"/>
      <c r="N37" s="87">
        <v>0</v>
      </c>
      <c r="O37" s="149"/>
      <c r="P37" s="186"/>
      <c r="Q37" s="145"/>
    </row>
    <row r="38" spans="2:17" x14ac:dyDescent="0.2">
      <c r="B38" s="71" t="s">
        <v>33</v>
      </c>
      <c r="C38" s="88">
        <f>131656.968963432*((('2022 IR Data Book'!$A$5)))</f>
        <v>35848.43679230845</v>
      </c>
      <c r="D38" s="144">
        <f>C38/$C$36</f>
        <v>0.21701508727999641</v>
      </c>
      <c r="E38" s="88">
        <f>112691.764757798*((('2022 IR Data Book'!$A$5)))</f>
        <v>30684.464618471378</v>
      </c>
      <c r="F38" s="144">
        <f>E38/$E$36</f>
        <v>0.19607247775956516</v>
      </c>
      <c r="G38" s="147">
        <f>C38-E38</f>
        <v>5163.9721738370718</v>
      </c>
      <c r="H38" s="148">
        <f>(C38/E38)-1</f>
        <v>0.16829272526164507</v>
      </c>
      <c r="I38" s="163"/>
      <c r="K38" s="71" t="s">
        <v>33</v>
      </c>
      <c r="L38" s="88">
        <f>472531.858621398*((('2022 IR Data Book'!$A$5)))</f>
        <v>128664.12313385557</v>
      </c>
      <c r="M38" s="144">
        <f>L38/$L$36</f>
        <v>0.20175291971387077</v>
      </c>
      <c r="N38" s="88">
        <f>414989.756493402*((('2022 IR Data Book'!$A$5)))</f>
        <v>112996.176140446</v>
      </c>
      <c r="O38" s="144">
        <f>N38/$N$36</f>
        <v>0.19476753738526156</v>
      </c>
      <c r="P38" s="147">
        <f>L38-N38</f>
        <v>15667.946993409569</v>
      </c>
      <c r="Q38" s="148">
        <f>(L38/N38)-1</f>
        <v>0.13865909032121104</v>
      </c>
    </row>
    <row r="39" spans="2:17" x14ac:dyDescent="0.2">
      <c r="I39" s="160"/>
    </row>
    <row r="40" spans="2:17" x14ac:dyDescent="0.2">
      <c r="B40" s="71" t="s">
        <v>211</v>
      </c>
      <c r="C40" s="158" t="str">
        <f>$C$6</f>
        <v>Q4'22</v>
      </c>
      <c r="D40" s="141"/>
      <c r="E40" s="158" t="str">
        <f>$E$6</f>
        <v>Q4'21</v>
      </c>
      <c r="G40" s="185" t="s">
        <v>204</v>
      </c>
      <c r="H40" s="158" t="s">
        <v>29</v>
      </c>
      <c r="I40" s="160"/>
      <c r="K40" s="71" t="s">
        <v>211</v>
      </c>
      <c r="L40" s="158" t="str">
        <f>$L$6</f>
        <v>Dec YTD 2022</v>
      </c>
      <c r="M40" s="141"/>
      <c r="N40" s="158" t="str">
        <f>$N$6</f>
        <v>Dec YTD 2021</v>
      </c>
      <c r="P40" s="185" t="s">
        <v>204</v>
      </c>
      <c r="Q40" s="158" t="s">
        <v>29</v>
      </c>
    </row>
    <row r="41" spans="2:17" x14ac:dyDescent="0.2">
      <c r="B41" s="20" t="s">
        <v>206</v>
      </c>
      <c r="C41" s="83">
        <v>8108700</v>
      </c>
      <c r="D41" s="83"/>
      <c r="E41" s="83">
        <v>8978229</v>
      </c>
      <c r="F41" s="90"/>
      <c r="G41" s="146">
        <f t="shared" ref="G41:G43" si="12">C41-E41</f>
        <v>-869529</v>
      </c>
      <c r="H41" s="145">
        <f t="shared" ref="H41:H43" si="13">(C41/E41)-1</f>
        <v>-9.6848610121216594E-2</v>
      </c>
      <c r="I41" s="161"/>
      <c r="K41" s="20" t="s">
        <v>206</v>
      </c>
      <c r="L41" s="83">
        <v>32428682</v>
      </c>
      <c r="M41" s="83"/>
      <c r="N41" s="83">
        <v>31891575</v>
      </c>
      <c r="O41" s="90"/>
      <c r="P41" s="146">
        <f t="shared" ref="P41:P43" si="14">L41-N41</f>
        <v>537107</v>
      </c>
      <c r="Q41" s="145">
        <f t="shared" ref="Q41:Q43" si="15">(L41/N41)-1</f>
        <v>1.684165802410198E-2</v>
      </c>
    </row>
    <row r="42" spans="2:17" x14ac:dyDescent="0.2">
      <c r="B42" s="20" t="s">
        <v>205</v>
      </c>
      <c r="C42" s="258">
        <v>1565243</v>
      </c>
      <c r="D42" s="84"/>
      <c r="E42" s="258">
        <v>1593210</v>
      </c>
      <c r="F42" s="150"/>
      <c r="G42" s="146">
        <f t="shared" si="12"/>
        <v>-27967</v>
      </c>
      <c r="H42" s="145">
        <f t="shared" si="13"/>
        <v>-1.7553869232555641E-2</v>
      </c>
      <c r="I42" s="160"/>
      <c r="J42" s="139"/>
      <c r="K42" s="71" t="s">
        <v>205</v>
      </c>
      <c r="L42" s="258">
        <v>6116217</v>
      </c>
      <c r="M42" s="84"/>
      <c r="N42" s="258">
        <v>8018531.8997353986</v>
      </c>
      <c r="O42" s="150"/>
      <c r="P42" s="146">
        <f t="shared" si="14"/>
        <v>-1902314.8997353986</v>
      </c>
      <c r="Q42" s="145">
        <f t="shared" si="15"/>
        <v>-0.23723979944485507</v>
      </c>
    </row>
    <row r="43" spans="2:17" x14ac:dyDescent="0.2">
      <c r="B43" s="152"/>
      <c r="C43" s="153">
        <f>C42+C41</f>
        <v>9673943</v>
      </c>
      <c r="D43" s="152"/>
      <c r="E43" s="153">
        <f>E42+E41</f>
        <v>10571439</v>
      </c>
      <c r="F43" s="152"/>
      <c r="G43" s="146">
        <f t="shared" si="12"/>
        <v>-897496</v>
      </c>
      <c r="H43" s="145">
        <f t="shared" si="13"/>
        <v>-8.4898186519356544E-2</v>
      </c>
      <c r="I43" s="162"/>
      <c r="K43" s="152"/>
      <c r="L43" s="153">
        <f>L42+L41</f>
        <v>38544899</v>
      </c>
      <c r="M43" s="152"/>
      <c r="N43" s="153">
        <f>N42+N41</f>
        <v>39910106.899735399</v>
      </c>
      <c r="O43" s="152"/>
      <c r="P43" s="146">
        <f t="shared" si="14"/>
        <v>-1365207.8997353986</v>
      </c>
      <c r="Q43" s="145">
        <f t="shared" si="15"/>
        <v>-3.4207071987182536E-2</v>
      </c>
    </row>
    <row r="44" spans="2:17" x14ac:dyDescent="0.2">
      <c r="I44" s="160"/>
    </row>
    <row r="45" spans="2:17" x14ac:dyDescent="0.2">
      <c r="B45" s="71" t="s">
        <v>193</v>
      </c>
      <c r="I45" s="160"/>
      <c r="K45" s="71" t="s">
        <v>193</v>
      </c>
    </row>
    <row r="46" spans="2:17" x14ac:dyDescent="0.2">
      <c r="B46" s="58"/>
      <c r="I46" s="160"/>
      <c r="K46" s="58"/>
    </row>
    <row r="47" spans="2:17" x14ac:dyDescent="0.2">
      <c r="B47" s="50"/>
      <c r="I47" s="160"/>
      <c r="K47" s="50"/>
    </row>
    <row r="48" spans="2:17" x14ac:dyDescent="0.2">
      <c r="C48" s="158" t="s">
        <v>203</v>
      </c>
      <c r="D48" s="141"/>
      <c r="E48" s="158" t="s">
        <v>203</v>
      </c>
      <c r="I48" s="160"/>
      <c r="L48" s="158" t="s">
        <v>203</v>
      </c>
      <c r="M48" s="141"/>
      <c r="N48" s="158" t="s">
        <v>203</v>
      </c>
    </row>
    <row r="49" spans="2:17" x14ac:dyDescent="0.2">
      <c r="B49" s="142"/>
      <c r="C49" s="158" t="str">
        <f>$C$6</f>
        <v>Q4'22</v>
      </c>
      <c r="D49" s="141"/>
      <c r="E49" s="158" t="str">
        <f>$E$6</f>
        <v>Q4'21</v>
      </c>
      <c r="G49" s="185" t="s">
        <v>204</v>
      </c>
      <c r="H49" s="158" t="s">
        <v>29</v>
      </c>
      <c r="I49" s="160"/>
      <c r="K49" s="142"/>
      <c r="L49" s="158" t="str">
        <f>$L$6</f>
        <v>Dec YTD 2022</v>
      </c>
      <c r="M49" s="141"/>
      <c r="N49" s="158" t="str">
        <f>$N$6</f>
        <v>Dec YTD 2021</v>
      </c>
      <c r="P49" s="185" t="s">
        <v>204</v>
      </c>
      <c r="Q49" s="158" t="s">
        <v>29</v>
      </c>
    </row>
    <row r="50" spans="2:17" x14ac:dyDescent="0.2">
      <c r="H50" s="143"/>
      <c r="I50" s="160"/>
      <c r="Q50" s="143"/>
    </row>
    <row r="51" spans="2:17" x14ac:dyDescent="0.2">
      <c r="B51" s="20" t="s">
        <v>205</v>
      </c>
      <c r="C51" s="87">
        <f>18843.2807804919*((('2022 IR Data Book'!$A$5)))</f>
        <v>5130.7740512149157</v>
      </c>
      <c r="D51" s="144">
        <f>C51/$C$57</f>
        <v>0.22557284512200076</v>
      </c>
      <c r="E51" s="87">
        <f>21471.57958829*((('2022 IR Data Book'!$A$5)))</f>
        <v>5846.424764006425</v>
      </c>
      <c r="F51" s="144">
        <f>E51/$E$57</f>
        <v>0.24388238690141578</v>
      </c>
      <c r="G51" s="146">
        <f>C51-E51</f>
        <v>-715.65071279150925</v>
      </c>
      <c r="H51" s="145">
        <f>(C51/E51)-1</f>
        <v>-0.12240826516701631</v>
      </c>
      <c r="I51" s="160"/>
      <c r="K51" s="20" t="s">
        <v>205</v>
      </c>
      <c r="L51" s="87">
        <f>76123.2857244944*((('2022 IR Data Book'!$A$5)))</f>
        <v>20727.355476908564</v>
      </c>
      <c r="M51" s="144">
        <f>L51/$L$57</f>
        <v>0.21963089695081392</v>
      </c>
      <c r="N51" s="87">
        <f>77419.59596156*((('2022 IR Data Book'!$A$5)))</f>
        <v>21080.32346608942</v>
      </c>
      <c r="O51" s="144">
        <f>N51/$N$57</f>
        <v>0.23434835845573698</v>
      </c>
      <c r="P51" s="146">
        <f>L51-N51</f>
        <v>-352.96798918085551</v>
      </c>
      <c r="Q51" s="145">
        <f>(L51/N51)-1</f>
        <v>-1.6743955079657757E-2</v>
      </c>
    </row>
    <row r="52" spans="2:17" x14ac:dyDescent="0.2">
      <c r="B52" s="20" t="s">
        <v>206</v>
      </c>
      <c r="C52" s="87">
        <f>39713.7488030186*((('2022 IR Data Book'!$A$5)))</f>
        <v>10813.524152648968</v>
      </c>
      <c r="D52" s="144">
        <f t="shared" ref="D52:D55" si="16">C52/$C$57</f>
        <v>0.47541314128438639</v>
      </c>
      <c r="E52" s="87">
        <f>43064.5541936482*((('2022 IR Data Book'!$A$5)))</f>
        <v>11725.903772163643</v>
      </c>
      <c r="F52" s="144">
        <f t="shared" ref="F52:F55" si="17">E52/$E$57</f>
        <v>0.48914362468796524</v>
      </c>
      <c r="G52" s="146">
        <f t="shared" ref="G52:G55" si="18">C52-E52</f>
        <v>-912.37961951467514</v>
      </c>
      <c r="H52" s="145">
        <f>(C52/E52)-1</f>
        <v>-7.780889535189528E-2</v>
      </c>
      <c r="I52" s="160"/>
      <c r="K52" s="20" t="s">
        <v>206</v>
      </c>
      <c r="L52" s="87">
        <f>163414.463608337*((('2022 IR Data Book'!$A$5)))</f>
        <v>44495.579047088439</v>
      </c>
      <c r="M52" s="144">
        <f>L52/$L$57</f>
        <v>0.47148339532966976</v>
      </c>
      <c r="N52" s="87">
        <f>165581.852348129*((('2022 IR Data Book'!$A$5)))</f>
        <v>45085.730095335457</v>
      </c>
      <c r="O52" s="144">
        <f>N52/$N$57</f>
        <v>0.50121464476656452</v>
      </c>
      <c r="P52" s="146">
        <f t="shared" ref="P52:P55" si="19">L52-N52</f>
        <v>-590.15104824701848</v>
      </c>
      <c r="Q52" s="145">
        <f>(L52/N52)-1</f>
        <v>-1.3089530700714391E-2</v>
      </c>
    </row>
    <row r="53" spans="2:17" x14ac:dyDescent="0.2">
      <c r="B53" s="20" t="s">
        <v>207</v>
      </c>
      <c r="C53" s="87">
        <f>20625.7401786664*((('2022 IR Data Book'!$A$5)))</f>
        <v>5616.1139733884438</v>
      </c>
      <c r="D53" s="144">
        <f t="shared" si="16"/>
        <v>0.24691066004098935</v>
      </c>
      <c r="E53" s="87">
        <f>18071.2523876707*((('2022 IR Data Book'!$A$5)))</f>
        <v>4920.5610160841634</v>
      </c>
      <c r="F53" s="144">
        <f t="shared" si="17"/>
        <v>0.20526017419820555</v>
      </c>
      <c r="G53" s="81">
        <f t="shared" si="18"/>
        <v>695.55295730428043</v>
      </c>
      <c r="H53" s="82">
        <f>(C53/E53)-1</f>
        <v>0.14135643375433826</v>
      </c>
      <c r="I53" s="160"/>
      <c r="K53" s="20" t="s">
        <v>207</v>
      </c>
      <c r="L53" s="87">
        <f>85536.3541245911*((('2022 IR Data Book'!$A$5)))</f>
        <v>23290.408463919593</v>
      </c>
      <c r="M53" s="144">
        <f>L53/$L$57</f>
        <v>0.24678948103052567</v>
      </c>
      <c r="N53" s="87">
        <f>66280.8958352377*((('2022 IR Data Book'!$A$5)))</f>
        <v>18047.403974088571</v>
      </c>
      <c r="O53" s="144">
        <f>N53/$N$57</f>
        <v>0.20063162230497722</v>
      </c>
      <c r="P53" s="81">
        <f t="shared" si="19"/>
        <v>5243.0044898310225</v>
      </c>
      <c r="Q53" s="82">
        <f>(L53/N53)-1</f>
        <v>0.29051294564906005</v>
      </c>
    </row>
    <row r="54" spans="2:17" x14ac:dyDescent="0.2">
      <c r="B54" s="20" t="s">
        <v>208</v>
      </c>
      <c r="C54" s="87">
        <f>1305.87588413926*((('2022 IR Data Book'!$A$5)))</f>
        <v>355.57258730579423</v>
      </c>
      <c r="D54" s="144">
        <f t="shared" si="16"/>
        <v>1.5632635420179279E-2</v>
      </c>
      <c r="E54" s="87">
        <f>3070.44382100105*((('2022 IR Data Book'!$A$5)))</f>
        <v>836.04090317514829</v>
      </c>
      <c r="F54" s="144">
        <f t="shared" si="17"/>
        <v>3.4875271511036338E-2</v>
      </c>
      <c r="G54" s="146">
        <f t="shared" si="18"/>
        <v>-480.46831586935406</v>
      </c>
      <c r="H54" s="145">
        <f>(C54/E54)-1</f>
        <v>-0.5746947476428641</v>
      </c>
      <c r="I54" s="160"/>
      <c r="K54" s="20" t="s">
        <v>208</v>
      </c>
      <c r="L54" s="87">
        <f>10321.4560017239*((('2022 IR Data Book'!$A$5)))</f>
        <v>2810.3948161313238</v>
      </c>
      <c r="M54" s="144">
        <f>L54/$L$57</f>
        <v>2.9779463904138229E-2</v>
      </c>
      <c r="N54" s="87">
        <f>11846.0326452431*((('2022 IR Data Book'!$A$5)))</f>
        <v>3225.5167034915589</v>
      </c>
      <c r="O54" s="144">
        <f>N54/$N$57</f>
        <v>3.5857824755429708E-2</v>
      </c>
      <c r="P54" s="146">
        <f t="shared" si="19"/>
        <v>-415.12188736023518</v>
      </c>
      <c r="Q54" s="145">
        <f>(L54/N54)-1</f>
        <v>-0.12869934510364611</v>
      </c>
    </row>
    <row r="55" spans="2:17" x14ac:dyDescent="0.2">
      <c r="B55" s="20" t="s">
        <v>209</v>
      </c>
      <c r="C55" s="87">
        <f>3046.59003464773*((('2022 IR Data Book'!$A$5)))</f>
        <v>829.54583527956493</v>
      </c>
      <c r="D55" s="144">
        <f t="shared" si="16"/>
        <v>3.6470718132444208E-2</v>
      </c>
      <c r="E55" s="87">
        <f>2362.88447463523*((('2022 IR Data Book'!$A$5)))</f>
        <v>643.38192959626156</v>
      </c>
      <c r="F55" s="144">
        <f t="shared" si="17"/>
        <v>2.6838542701377092E-2</v>
      </c>
      <c r="G55" s="146">
        <f t="shared" si="18"/>
        <v>186.16390568330337</v>
      </c>
      <c r="H55" s="145">
        <f>(C55/E55)-1</f>
        <v>0.28935208951256364</v>
      </c>
      <c r="I55" s="160"/>
      <c r="K55" s="20" t="s">
        <v>209</v>
      </c>
      <c r="L55" s="87">
        <f>11200.8747462929*((('2022 IR Data Book'!$A$5)))</f>
        <v>3049.8488118207538</v>
      </c>
      <c r="M55" s="144">
        <f>L55/$L$57</f>
        <v>3.2316762784852446E-2</v>
      </c>
      <c r="N55" s="87">
        <f>9232.78499361453*((('2022 IR Data Book'!$A$5)))</f>
        <v>2513.964219793751</v>
      </c>
      <c r="O55" s="144">
        <f>N55/$N$57</f>
        <v>2.794754971729161E-2</v>
      </c>
      <c r="P55" s="146">
        <f t="shared" si="19"/>
        <v>535.88459202700278</v>
      </c>
      <c r="Q55" s="145">
        <f>(L55/N55)-1</f>
        <v>0.21316317384619232</v>
      </c>
    </row>
    <row r="56" spans="2:17" x14ac:dyDescent="0.2">
      <c r="C56" s="87"/>
      <c r="D56" s="144"/>
      <c r="E56" s="87"/>
      <c r="F56" s="144"/>
      <c r="G56" s="146"/>
      <c r="H56" s="145"/>
      <c r="I56" s="160"/>
      <c r="L56" s="87"/>
      <c r="M56" s="144"/>
      <c r="N56" s="87"/>
      <c r="O56" s="144"/>
      <c r="P56" s="146"/>
      <c r="Q56" s="145"/>
    </row>
    <row r="57" spans="2:17" x14ac:dyDescent="0.2">
      <c r="B57" s="71" t="s">
        <v>210</v>
      </c>
      <c r="C57" s="88">
        <f>SUM(C51:C55)</f>
        <v>22745.530599837686</v>
      </c>
      <c r="D57" s="144">
        <f>C57/$C$57</f>
        <v>1</v>
      </c>
      <c r="E57" s="88">
        <f>SUM(E51:E55)</f>
        <v>23972.312385025642</v>
      </c>
      <c r="F57" s="144">
        <f>E57/$E$57</f>
        <v>1</v>
      </c>
      <c r="G57" s="147">
        <f>C57-E57</f>
        <v>-1226.7817851879554</v>
      </c>
      <c r="H57" s="148">
        <f>(C57/E57)-1</f>
        <v>-5.1174945724229204E-2</v>
      </c>
      <c r="I57" s="239">
        <f>C57/$C$201</f>
        <v>5.4447524734432297E-2</v>
      </c>
      <c r="K57" s="71" t="s">
        <v>210</v>
      </c>
      <c r="L57" s="88">
        <f>SUM(L51:L55)</f>
        <v>94373.586615868669</v>
      </c>
      <c r="M57" s="144">
        <f>L57/$L$57</f>
        <v>1</v>
      </c>
      <c r="N57" s="88">
        <f>SUM(N51:N55)</f>
        <v>89952.938458798759</v>
      </c>
      <c r="O57" s="144">
        <f>N57/$N$57</f>
        <v>1</v>
      </c>
      <c r="P57" s="147">
        <f>L57-N57</f>
        <v>4420.6481570699107</v>
      </c>
      <c r="Q57" s="148">
        <f>(L57/N57)-1</f>
        <v>4.914401055497164E-2</v>
      </c>
    </row>
    <row r="58" spans="2:17" x14ac:dyDescent="0.2">
      <c r="C58" s="87">
        <v>0</v>
      </c>
      <c r="D58" s="149"/>
      <c r="E58" s="87">
        <v>0</v>
      </c>
      <c r="F58" s="149"/>
      <c r="G58" s="186"/>
      <c r="H58" s="145"/>
      <c r="I58" s="239">
        <f>E57/$E$201</f>
        <v>5.4631264502995033E-2</v>
      </c>
      <c r="L58" s="87">
        <v>0</v>
      </c>
      <c r="M58" s="149"/>
      <c r="N58" s="87">
        <v>0</v>
      </c>
      <c r="O58" s="149"/>
      <c r="P58" s="186"/>
      <c r="Q58" s="145"/>
    </row>
    <row r="59" spans="2:17" x14ac:dyDescent="0.2">
      <c r="B59" s="71" t="s">
        <v>33</v>
      </c>
      <c r="C59" s="88">
        <f>26265.863313816*((('2022 IR Data Book'!$A$5)))</f>
        <v>7151.8442830191143</v>
      </c>
      <c r="D59" s="144">
        <f>C59/$C$57</f>
        <v>0.31442855340864856</v>
      </c>
      <c r="E59" s="88">
        <f>24715.0228498188*((('2022 IR Data Book'!$A$5)))</f>
        <v>6729.5711076128082</v>
      </c>
      <c r="F59" s="144">
        <f>E59/$E$57</f>
        <v>0.28072265201318042</v>
      </c>
      <c r="G59" s="147">
        <f>C59-E59</f>
        <v>422.27317540630611</v>
      </c>
      <c r="H59" s="148">
        <f>(C59/E59)-1</f>
        <v>6.2748898652487783E-2</v>
      </c>
      <c r="I59" s="160"/>
      <c r="K59" s="71" t="s">
        <v>33</v>
      </c>
      <c r="L59" s="88">
        <f>117762.369887412*((('2022 IR Data Book'!$A$5)))</f>
        <v>32065.122770628979</v>
      </c>
      <c r="M59" s="144">
        <f>L59/$L$57</f>
        <v>0.33976797873693731</v>
      </c>
      <c r="N59" s="88">
        <f>103434.279323533*((('2022 IR Data Book'!$A$5)))</f>
        <v>28163.774798108425</v>
      </c>
      <c r="O59" s="144">
        <f>N59/$N$57</f>
        <v>0.31309455011309395</v>
      </c>
      <c r="P59" s="147">
        <f>L59-N59</f>
        <v>3901.3479725205543</v>
      </c>
      <c r="Q59" s="148">
        <f>(L59/N59)-1</f>
        <v>0.13852361767864241</v>
      </c>
    </row>
    <row r="60" spans="2:17" x14ac:dyDescent="0.2">
      <c r="I60" s="160"/>
    </row>
    <row r="61" spans="2:17" x14ac:dyDescent="0.2">
      <c r="B61" s="71" t="s">
        <v>211</v>
      </c>
      <c r="C61" s="158" t="str">
        <f>$C$6</f>
        <v>Q4'22</v>
      </c>
      <c r="D61" s="141"/>
      <c r="E61" s="158" t="str">
        <f>$E$6</f>
        <v>Q4'21</v>
      </c>
      <c r="G61" s="185" t="s">
        <v>204</v>
      </c>
      <c r="H61" s="158" t="s">
        <v>29</v>
      </c>
      <c r="I61" s="160"/>
      <c r="K61" s="71" t="s">
        <v>211</v>
      </c>
      <c r="L61" s="158" t="str">
        <f>$L$6</f>
        <v>Dec YTD 2022</v>
      </c>
      <c r="M61" s="141"/>
      <c r="N61" s="158" t="str">
        <f>$N$6</f>
        <v>Dec YTD 2021</v>
      </c>
      <c r="P61" s="185" t="s">
        <v>204</v>
      </c>
      <c r="Q61" s="158" t="s">
        <v>29</v>
      </c>
    </row>
    <row r="62" spans="2:17" x14ac:dyDescent="0.2">
      <c r="B62" s="20" t="s">
        <v>206</v>
      </c>
      <c r="C62" s="83">
        <v>1482009</v>
      </c>
      <c r="D62" s="83"/>
      <c r="E62" s="83">
        <v>1633055</v>
      </c>
      <c r="F62" s="90"/>
      <c r="G62" s="146">
        <f t="shared" ref="G62:G64" si="20">C62-E62</f>
        <v>-151046</v>
      </c>
      <c r="H62" s="145">
        <f t="shared" ref="H62:H64" si="21">(C62/E62)-1</f>
        <v>-9.2492904403097209E-2</v>
      </c>
      <c r="I62" s="161"/>
      <c r="K62" s="20" t="s">
        <v>206</v>
      </c>
      <c r="L62" s="83">
        <v>5991475</v>
      </c>
      <c r="M62" s="83"/>
      <c r="N62" s="83">
        <v>6453914</v>
      </c>
      <c r="O62" s="90"/>
      <c r="P62" s="146">
        <f t="shared" ref="P62:P64" si="22">L62-N62</f>
        <v>-462439</v>
      </c>
      <c r="Q62" s="145">
        <f t="shared" ref="Q62:Q64" si="23">(L62/N62)-1</f>
        <v>-7.1652488706852924E-2</v>
      </c>
    </row>
    <row r="63" spans="2:17" x14ac:dyDescent="0.2">
      <c r="B63" s="71" t="s">
        <v>205</v>
      </c>
      <c r="C63" s="159">
        <v>80271</v>
      </c>
      <c r="D63" s="84"/>
      <c r="E63" s="159">
        <v>83665</v>
      </c>
      <c r="F63" s="150"/>
      <c r="G63" s="146">
        <f t="shared" si="20"/>
        <v>-3394</v>
      </c>
      <c r="H63" s="145">
        <f t="shared" si="21"/>
        <v>-4.056654515030178E-2</v>
      </c>
      <c r="I63" s="160"/>
      <c r="J63" s="139"/>
      <c r="K63" s="71" t="s">
        <v>205</v>
      </c>
      <c r="L63" s="159">
        <v>317954</v>
      </c>
      <c r="M63" s="84"/>
      <c r="N63" s="159">
        <v>322269.71521079913</v>
      </c>
      <c r="O63" s="150"/>
      <c r="P63" s="146">
        <f t="shared" si="22"/>
        <v>-4315.7152107991278</v>
      </c>
      <c r="Q63" s="145">
        <f t="shared" si="23"/>
        <v>-1.339162511120906E-2</v>
      </c>
    </row>
    <row r="64" spans="2:17" x14ac:dyDescent="0.2">
      <c r="B64" s="152"/>
      <c r="C64" s="153">
        <f>C63+C62</f>
        <v>1562280</v>
      </c>
      <c r="D64" s="152"/>
      <c r="E64" s="153">
        <f>E63+E62</f>
        <v>1716720</v>
      </c>
      <c r="F64" s="152"/>
      <c r="G64" s="146">
        <f t="shared" si="20"/>
        <v>-154440</v>
      </c>
      <c r="H64" s="145">
        <f t="shared" si="21"/>
        <v>-8.9962253599888187E-2</v>
      </c>
      <c r="I64" s="162"/>
      <c r="J64" s="139"/>
      <c r="K64" s="152"/>
      <c r="L64" s="153">
        <f>L63+L62</f>
        <v>6309429</v>
      </c>
      <c r="M64" s="152"/>
      <c r="N64" s="153">
        <f>N63+N62</f>
        <v>6776183.7152107991</v>
      </c>
      <c r="O64" s="152"/>
      <c r="P64" s="146">
        <f t="shared" si="22"/>
        <v>-466754.71521079913</v>
      </c>
      <c r="Q64" s="145">
        <f t="shared" si="23"/>
        <v>-6.8881650030097941E-2</v>
      </c>
    </row>
    <row r="65" spans="2:17" x14ac:dyDescent="0.2">
      <c r="I65" s="160"/>
    </row>
    <row r="66" spans="2:17" x14ac:dyDescent="0.2">
      <c r="B66" s="71" t="s">
        <v>194</v>
      </c>
      <c r="I66" s="160"/>
      <c r="K66" s="71" t="s">
        <v>194</v>
      </c>
    </row>
    <row r="67" spans="2:17" x14ac:dyDescent="0.2">
      <c r="B67" s="58"/>
      <c r="I67" s="160"/>
      <c r="K67" s="58"/>
    </row>
    <row r="68" spans="2:17" x14ac:dyDescent="0.2">
      <c r="B68" s="50"/>
      <c r="I68" s="160"/>
      <c r="K68" s="50"/>
    </row>
    <row r="69" spans="2:17" x14ac:dyDescent="0.2">
      <c r="C69" s="158" t="s">
        <v>203</v>
      </c>
      <c r="D69" s="141"/>
      <c r="E69" s="158" t="s">
        <v>203</v>
      </c>
      <c r="I69" s="160"/>
      <c r="L69" s="158" t="s">
        <v>203</v>
      </c>
      <c r="M69" s="141"/>
      <c r="N69" s="158" t="s">
        <v>203</v>
      </c>
    </row>
    <row r="70" spans="2:17" x14ac:dyDescent="0.2">
      <c r="B70" s="142"/>
      <c r="C70" s="158" t="str">
        <f>$C$6</f>
        <v>Q4'22</v>
      </c>
      <c r="D70" s="141"/>
      <c r="E70" s="158" t="str">
        <f>$E$6</f>
        <v>Q4'21</v>
      </c>
      <c r="G70" s="185" t="s">
        <v>204</v>
      </c>
      <c r="H70" s="158" t="s">
        <v>29</v>
      </c>
      <c r="I70" s="160"/>
      <c r="K70" s="142"/>
      <c r="L70" s="158" t="str">
        <f>$L$6</f>
        <v>Dec YTD 2022</v>
      </c>
      <c r="M70" s="141"/>
      <c r="N70" s="158" t="str">
        <f>$N$6</f>
        <v>Dec YTD 2021</v>
      </c>
      <c r="P70" s="185" t="s">
        <v>204</v>
      </c>
      <c r="Q70" s="158" t="s">
        <v>29</v>
      </c>
    </row>
    <row r="71" spans="2:17" x14ac:dyDescent="0.2">
      <c r="H71" s="143"/>
      <c r="I71" s="160"/>
      <c r="Q71" s="143"/>
    </row>
    <row r="72" spans="2:17" x14ac:dyDescent="0.2">
      <c r="B72" s="20" t="s">
        <v>205</v>
      </c>
      <c r="C72" s="87">
        <f>102984.333953455*((('2022 IR Data Book'!$A$5)))</f>
        <v>28041.260674577956</v>
      </c>
      <c r="D72" s="144">
        <f>C72/$C$78</f>
        <v>0.52736599132026407</v>
      </c>
      <c r="E72" s="87">
        <f>93975.8463038528*((('2022 IR Data Book'!$A$5)))</f>
        <v>25588.369630194629</v>
      </c>
      <c r="F72" s="144">
        <f>E72/$E$78</f>
        <v>0.48199326849047436</v>
      </c>
      <c r="G72" s="146">
        <f>C72-E72</f>
        <v>2452.8910443833265</v>
      </c>
      <c r="H72" s="145">
        <f>(C72/E72)-1</f>
        <v>9.5859606525649177E-2</v>
      </c>
      <c r="I72" s="160"/>
      <c r="K72" s="20" t="s">
        <v>205</v>
      </c>
      <c r="L72" s="87">
        <f>373097.136069514*((('2022 IR Data Book'!$A$5)))</f>
        <v>101589.37430417523</v>
      </c>
      <c r="M72" s="144">
        <f>L72/$L$78</f>
        <v>0.50013529317122574</v>
      </c>
      <c r="N72" s="87">
        <f>383455.977392001*((('2022 IR Data Book'!$A$5)))</f>
        <v>104409.94864455725</v>
      </c>
      <c r="O72" s="144">
        <f>N72/$N$78</f>
        <v>0.49617841140838764</v>
      </c>
      <c r="P72" s="146">
        <f>L72-N72</f>
        <v>-2820.5743403820234</v>
      </c>
      <c r="Q72" s="145">
        <f>(L72/N72)-1</f>
        <v>-2.7014421297956059E-2</v>
      </c>
    </row>
    <row r="73" spans="2:17" x14ac:dyDescent="0.2">
      <c r="B73" s="20" t="s">
        <v>206</v>
      </c>
      <c r="C73" s="87">
        <f>10710.0212209667*((('2022 IR Data Book'!$A$5)))</f>
        <v>2916.1959431919349</v>
      </c>
      <c r="D73" s="144">
        <f t="shared" ref="D73:D76" si="24">C73/$C$78</f>
        <v>5.4844273312569032E-2</v>
      </c>
      <c r="E73" s="87">
        <f>11880.4818142998*((('2022 IR Data Book'!$A$5)))</f>
        <v>3234.8967527908835</v>
      </c>
      <c r="F73" s="144">
        <f t="shared" ref="F73:F76" si="25">E73/$E$78</f>
        <v>6.0933872757060074E-2</v>
      </c>
      <c r="G73" s="146">
        <f t="shared" ref="G73:G76" si="26">C73-E73</f>
        <v>-318.70080959894858</v>
      </c>
      <c r="H73" s="145">
        <f>(C73/E73)-1</f>
        <v>-9.8519623330788453E-2</v>
      </c>
      <c r="I73" s="160"/>
      <c r="K73" s="20" t="s">
        <v>206</v>
      </c>
      <c r="L73" s="87">
        <f>42798.436255105*((('2022 IR Data Book'!$A$5)))</f>
        <v>11653.443406607035</v>
      </c>
      <c r="M73" s="144">
        <f>L73/$L$78</f>
        <v>5.7371141170402491E-2</v>
      </c>
      <c r="N73" s="87">
        <f>49667.4672343641*((('2022 IR Data Book'!$A$5)))</f>
        <v>13523.788932735419</v>
      </c>
      <c r="O73" s="144">
        <f>N73/$N$78</f>
        <v>6.4267938026773358E-2</v>
      </c>
      <c r="P73" s="146">
        <f t="shared" ref="P73:P76" si="27">L73-N73</f>
        <v>-1870.3455261283834</v>
      </c>
      <c r="Q73" s="145">
        <f>(L73/N73)-1</f>
        <v>-0.13830040792791887</v>
      </c>
    </row>
    <row r="74" spans="2:17" x14ac:dyDescent="0.2">
      <c r="B74" s="20" t="s">
        <v>207</v>
      </c>
      <c r="C74" s="87">
        <f>69755.3960852113*((('2022 IR Data Book'!$A$5)))</f>
        <v>18993.464054133663</v>
      </c>
      <c r="D74" s="144">
        <f t="shared" si="24"/>
        <v>0.35720601565517018</v>
      </c>
      <c r="E74" s="87">
        <f>77403.3713158142*((('2022 IR Data Book'!$A$5)))</f>
        <v>21075.905711434461</v>
      </c>
      <c r="F74" s="144">
        <f t="shared" si="25"/>
        <v>0.39699460446531332</v>
      </c>
      <c r="G74" s="81">
        <f t="shared" si="26"/>
        <v>-2082.4416573007984</v>
      </c>
      <c r="H74" s="82">
        <f>(C74/E74)-1</f>
        <v>-9.8806745760444237E-2</v>
      </c>
      <c r="I74" s="160"/>
      <c r="K74" s="20" t="s">
        <v>207</v>
      </c>
      <c r="L74" s="87">
        <f>286461.535370902*((('2022 IR Data Book'!$A$5)))</f>
        <v>77999.655658362462</v>
      </c>
      <c r="M74" s="144">
        <f>L74/$L$78</f>
        <v>0.38400059964092598</v>
      </c>
      <c r="N74" s="87">
        <f>292043.100492008*((('2022 IR Data Book'!$A$5)))</f>
        <v>79519.441401733915</v>
      </c>
      <c r="O74" s="144">
        <f>N74/$N$78</f>
        <v>0.3778933963957225</v>
      </c>
      <c r="P74" s="81">
        <f t="shared" si="27"/>
        <v>-1519.7857433714526</v>
      </c>
      <c r="Q74" s="82">
        <f>(L74/N74)-1</f>
        <v>-1.9112128010224105E-2</v>
      </c>
    </row>
    <row r="75" spans="2:17" x14ac:dyDescent="0.2">
      <c r="B75" s="20" t="s">
        <v>208</v>
      </c>
      <c r="C75" s="87">
        <f>10734.0536190994*((('2022 IR Data Book'!$A$5)))</f>
        <v>2922.7396446929697</v>
      </c>
      <c r="D75" s="144">
        <f t="shared" si="24"/>
        <v>5.4967339306963701E-2</v>
      </c>
      <c r="E75" s="87">
        <f>10620.4215882346*((('2022 IR Data Book'!$A$5)))</f>
        <v>2891.7991581535148</v>
      </c>
      <c r="F75" s="144">
        <f t="shared" si="25"/>
        <v>5.4471142483875912E-2</v>
      </c>
      <c r="G75" s="146">
        <f t="shared" si="26"/>
        <v>30.940486539454923</v>
      </c>
      <c r="H75" s="145">
        <f>(C75/E75)-1</f>
        <v>1.0699389842554252E-2</v>
      </c>
      <c r="I75" s="160"/>
      <c r="K75" s="20" t="s">
        <v>208</v>
      </c>
      <c r="L75" s="87">
        <f>40347.5877609032*((('2022 IR Data Book'!$A$5)))</f>
        <v>10986.11004762381</v>
      </c>
      <c r="M75" s="144">
        <f>L75/$L$78</f>
        <v>5.408578807689203E-2</v>
      </c>
      <c r="N75" s="87">
        <f>44989.3948448697*((('2022 IR Data Book'!$A$5)))</f>
        <v>12250.012210659939</v>
      </c>
      <c r="O75" s="144">
        <f>N75/$N$78</f>
        <v>5.8214678556260807E-2</v>
      </c>
      <c r="P75" s="146">
        <f t="shared" si="27"/>
        <v>-1263.9021630361294</v>
      </c>
      <c r="Q75" s="145">
        <f>(L75/N75)-1</f>
        <v>-0.10317558393421711</v>
      </c>
    </row>
    <row r="76" spans="2:17" x14ac:dyDescent="0.2">
      <c r="B76" s="20" t="s">
        <v>209</v>
      </c>
      <c r="C76" s="87">
        <f>1096.76999419991*((('2022 IR Data Book'!$A$5)))</f>
        <v>298.63584223708267</v>
      </c>
      <c r="D76" s="144">
        <f t="shared" si="24"/>
        <v>5.6163804050329644E-3</v>
      </c>
      <c r="E76" s="87">
        <f>1093.23741944256*((('2022 IR Data Book'!$A$5)))</f>
        <v>297.67396924319553</v>
      </c>
      <c r="F76" s="144">
        <f t="shared" si="25"/>
        <v>5.6071118032762855E-3</v>
      </c>
      <c r="G76" s="146">
        <f t="shared" si="26"/>
        <v>0.96187299388714109</v>
      </c>
      <c r="H76" s="145">
        <f>(C76/E76)-1</f>
        <v>3.2312969667203095E-3</v>
      </c>
      <c r="I76" s="160"/>
      <c r="K76" s="20" t="s">
        <v>209</v>
      </c>
      <c r="L76" s="87">
        <f>3287.72132305093*((('2022 IR Data Book'!$A$5)))</f>
        <v>895.20266924002885</v>
      </c>
      <c r="M76" s="144">
        <f>L76/$L$78</f>
        <v>4.4071779405538145E-3</v>
      </c>
      <c r="N76" s="87">
        <f>2662.80542225797*((('2022 IR Data Book'!$A$5)))</f>
        <v>725.04640370799154</v>
      </c>
      <c r="O76" s="144">
        <f>N76/$N$78</f>
        <v>3.4455756128556349E-3</v>
      </c>
      <c r="P76" s="146">
        <f t="shared" si="27"/>
        <v>170.15626553203731</v>
      </c>
      <c r="Q76" s="145">
        <f>(L76/N76)-1</f>
        <v>0.23468327635560104</v>
      </c>
    </row>
    <row r="77" spans="2:17" x14ac:dyDescent="0.2">
      <c r="C77" s="87"/>
      <c r="D77" s="144"/>
      <c r="E77" s="87"/>
      <c r="F77" s="144"/>
      <c r="G77" s="146"/>
      <c r="H77" s="145"/>
      <c r="I77" s="160"/>
      <c r="L77" s="87"/>
      <c r="M77" s="144"/>
      <c r="N77" s="87"/>
      <c r="O77" s="144"/>
      <c r="P77" s="146"/>
      <c r="Q77" s="145"/>
    </row>
    <row r="78" spans="2:17" x14ac:dyDescent="0.2">
      <c r="B78" s="71" t="s">
        <v>210</v>
      </c>
      <c r="C78" s="88">
        <f>SUM(C72:C76)</f>
        <v>53172.296158833611</v>
      </c>
      <c r="D78" s="184">
        <f>C78/$C$78</f>
        <v>1</v>
      </c>
      <c r="E78" s="88">
        <f>SUM(E72:E76)</f>
        <v>53088.645221816689</v>
      </c>
      <c r="F78" s="144">
        <f>E78/$E$78</f>
        <v>1</v>
      </c>
      <c r="G78" s="147">
        <f>C78-E78</f>
        <v>83.650937016922398</v>
      </c>
      <c r="H78" s="148">
        <f>(C78/E78)-1</f>
        <v>1.5756841536906929E-3</v>
      </c>
      <c r="I78" s="239">
        <f>C78/$C$201</f>
        <v>0.12728214440138461</v>
      </c>
      <c r="K78" s="71" t="s">
        <v>210</v>
      </c>
      <c r="L78" s="88">
        <f>SUM(L72:L76)</f>
        <v>203123.78608600856</v>
      </c>
      <c r="M78" s="144">
        <f>L78/$L$78</f>
        <v>1</v>
      </c>
      <c r="N78" s="88">
        <f>SUM(N72:N76)</f>
        <v>210428.23759339453</v>
      </c>
      <c r="O78" s="144">
        <f>N78/$N$78</f>
        <v>1</v>
      </c>
      <c r="P78" s="147">
        <f>L78-N78</f>
        <v>-7304.4515073859657</v>
      </c>
      <c r="Q78" s="148">
        <f>(L78/N78)-1</f>
        <v>-3.4712316136488175E-2</v>
      </c>
    </row>
    <row r="79" spans="2:17" x14ac:dyDescent="0.2">
      <c r="C79" s="87">
        <v>0</v>
      </c>
      <c r="D79" s="149"/>
      <c r="E79" s="87">
        <v>0</v>
      </c>
      <c r="F79" s="149"/>
      <c r="G79" s="186"/>
      <c r="H79" s="145"/>
      <c r="I79" s="239">
        <f>E78/$E$201</f>
        <v>0.1209854006837659</v>
      </c>
      <c r="L79" s="87">
        <v>0</v>
      </c>
      <c r="M79" s="149"/>
      <c r="N79" s="87">
        <v>0</v>
      </c>
      <c r="O79" s="149"/>
      <c r="P79" s="186"/>
      <c r="Q79" s="145"/>
    </row>
    <row r="80" spans="2:17" x14ac:dyDescent="0.2">
      <c r="B80" s="71" t="s">
        <v>33</v>
      </c>
      <c r="C80" s="88">
        <f>27225.6153799255*((('2022 IR Data Book'!$A$5)))</f>
        <v>7413.1719707905841</v>
      </c>
      <c r="D80" s="144">
        <f>C80/$C$78</f>
        <v>0.13941793953464657</v>
      </c>
      <c r="E80" s="88">
        <f>34897.0004970524*((('2022 IR Data Book'!$A$5)))</f>
        <v>9501.9878279835539</v>
      </c>
      <c r="F80" s="144">
        <f>E80/$E$78</f>
        <v>0.17898343022847998</v>
      </c>
      <c r="G80" s="147">
        <f>C80-E80</f>
        <v>-2088.8158571929698</v>
      </c>
      <c r="H80" s="148">
        <f>(C80/E80)-1</f>
        <v>-0.21982935518411872</v>
      </c>
      <c r="I80" s="160"/>
      <c r="K80" s="71" t="s">
        <v>33</v>
      </c>
      <c r="L80" s="88">
        <f>120080.713970018*((('2022 IR Data Book'!$A$5)))</f>
        <v>32696.37694549311</v>
      </c>
      <c r="M80" s="144">
        <f>L80/$L$78</f>
        <v>0.1609677407826994</v>
      </c>
      <c r="N80" s="88">
        <f>132607.919860476*((('2022 IR Data Book'!$A$5)))</f>
        <v>36107.368039121051</v>
      </c>
      <c r="O80" s="144">
        <f>N80/$N$78</f>
        <v>0.1715899370354014</v>
      </c>
      <c r="P80" s="147">
        <f>L80-N80</f>
        <v>-3410.9910936279412</v>
      </c>
      <c r="Q80" s="148">
        <f>(L80/N80)-1</f>
        <v>-9.4468006915714664E-2</v>
      </c>
    </row>
    <row r="81" spans="2:17" x14ac:dyDescent="0.2">
      <c r="I81" s="160"/>
    </row>
    <row r="82" spans="2:17" x14ac:dyDescent="0.2">
      <c r="B82" s="71" t="s">
        <v>211</v>
      </c>
      <c r="C82" s="158" t="str">
        <f>$C$6</f>
        <v>Q4'22</v>
      </c>
      <c r="D82" s="141"/>
      <c r="E82" s="158" t="str">
        <f>$E$6</f>
        <v>Q4'21</v>
      </c>
      <c r="G82" s="185" t="s">
        <v>204</v>
      </c>
      <c r="H82" s="158" t="s">
        <v>29</v>
      </c>
      <c r="I82" s="160"/>
      <c r="K82" s="71" t="s">
        <v>211</v>
      </c>
      <c r="L82" s="158" t="str">
        <f>$L$6</f>
        <v>Dec YTD 2022</v>
      </c>
      <c r="M82" s="141"/>
      <c r="N82" s="158" t="str">
        <f>$N$6</f>
        <v>Dec YTD 2021</v>
      </c>
      <c r="P82" s="185" t="s">
        <v>204</v>
      </c>
      <c r="Q82" s="158" t="s">
        <v>29</v>
      </c>
    </row>
    <row r="83" spans="2:17" x14ac:dyDescent="0.2">
      <c r="B83" s="20" t="s">
        <v>206</v>
      </c>
      <c r="C83" s="83">
        <v>347</v>
      </c>
      <c r="D83" s="83"/>
      <c r="E83" s="83">
        <v>4655</v>
      </c>
      <c r="F83" s="90"/>
      <c r="G83" s="146">
        <f t="shared" ref="G83:G85" si="28">C83-E83</f>
        <v>-4308</v>
      </c>
      <c r="H83" s="145">
        <f t="shared" ref="H83:H85" si="29">(C83/E83)-1</f>
        <v>-0.92545649838882926</v>
      </c>
      <c r="I83" s="161"/>
      <c r="K83" s="20" t="s">
        <v>206</v>
      </c>
      <c r="L83" s="83">
        <v>6969</v>
      </c>
      <c r="M83" s="83"/>
      <c r="N83" s="83">
        <v>17464</v>
      </c>
      <c r="O83" s="90"/>
      <c r="P83" s="146">
        <f t="shared" ref="P83:P85" si="30">L83-N83</f>
        <v>-10495</v>
      </c>
      <c r="Q83" s="145">
        <f t="shared" ref="Q83:Q85" si="31">(L83/N83)-1</f>
        <v>-0.60095052679798444</v>
      </c>
    </row>
    <row r="84" spans="2:17" x14ac:dyDescent="0.2">
      <c r="B84" s="71" t="s">
        <v>205</v>
      </c>
      <c r="C84" s="159">
        <v>1617356</v>
      </c>
      <c r="D84" s="84"/>
      <c r="E84" s="159">
        <v>1268417</v>
      </c>
      <c r="F84" s="150"/>
      <c r="G84" s="146">
        <f t="shared" si="28"/>
        <v>348939</v>
      </c>
      <c r="H84" s="145">
        <f t="shared" si="29"/>
        <v>0.27509801587332872</v>
      </c>
      <c r="I84" s="160"/>
      <c r="K84" s="71" t="s">
        <v>205</v>
      </c>
      <c r="L84" s="159">
        <v>5534050</v>
      </c>
      <c r="M84" s="84"/>
      <c r="N84" s="159">
        <v>5034397.5167946592</v>
      </c>
      <c r="O84" s="150"/>
      <c r="P84" s="146">
        <f t="shared" si="30"/>
        <v>499652.4832053408</v>
      </c>
      <c r="Q84" s="145">
        <f t="shared" si="31"/>
        <v>9.9247721606907202E-2</v>
      </c>
    </row>
    <row r="85" spans="2:17" x14ac:dyDescent="0.2">
      <c r="B85" s="152"/>
      <c r="C85" s="153">
        <f>C84+C83</f>
        <v>1617703</v>
      </c>
      <c r="D85" s="152"/>
      <c r="E85" s="153">
        <f>E84+E83</f>
        <v>1273072</v>
      </c>
      <c r="F85" s="152"/>
      <c r="G85" s="146">
        <f t="shared" si="28"/>
        <v>344631</v>
      </c>
      <c r="H85" s="145">
        <f t="shared" si="29"/>
        <v>0.27070817675669567</v>
      </c>
      <c r="I85" s="162"/>
      <c r="K85" s="152"/>
      <c r="L85" s="153">
        <f>L84+L83</f>
        <v>5541019</v>
      </c>
      <c r="M85" s="152"/>
      <c r="N85" s="153">
        <f>N84+N83</f>
        <v>5051861.5167946592</v>
      </c>
      <c r="O85" s="152"/>
      <c r="P85" s="146">
        <f t="shared" si="30"/>
        <v>489157.4832053408</v>
      </c>
      <c r="Q85" s="145">
        <f t="shared" si="31"/>
        <v>9.6827175800278997E-2</v>
      </c>
    </row>
    <row r="86" spans="2:17" x14ac:dyDescent="0.2">
      <c r="I86" s="160"/>
    </row>
    <row r="87" spans="2:17" x14ac:dyDescent="0.2">
      <c r="B87" s="71" t="s">
        <v>195</v>
      </c>
      <c r="I87" s="160"/>
      <c r="K87" s="71" t="s">
        <v>195</v>
      </c>
    </row>
    <row r="88" spans="2:17" x14ac:dyDescent="0.2">
      <c r="B88" s="58"/>
      <c r="I88" s="160"/>
      <c r="K88" s="58"/>
    </row>
    <row r="89" spans="2:17" x14ac:dyDescent="0.2">
      <c r="B89" s="50"/>
      <c r="I89" s="160"/>
      <c r="K89" s="50"/>
    </row>
    <row r="90" spans="2:17" x14ac:dyDescent="0.2">
      <c r="C90" s="158" t="s">
        <v>203</v>
      </c>
      <c r="D90" s="141"/>
      <c r="E90" s="158" t="s">
        <v>203</v>
      </c>
      <c r="I90" s="160"/>
      <c r="L90" s="158" t="s">
        <v>203</v>
      </c>
      <c r="M90" s="141"/>
      <c r="N90" s="158" t="s">
        <v>203</v>
      </c>
    </row>
    <row r="91" spans="2:17" x14ac:dyDescent="0.2">
      <c r="B91" s="142"/>
      <c r="C91" s="158" t="str">
        <f>$C$6</f>
        <v>Q4'22</v>
      </c>
      <c r="D91" s="141"/>
      <c r="E91" s="158" t="str">
        <f>$E$6</f>
        <v>Q4'21</v>
      </c>
      <c r="G91" s="185" t="s">
        <v>204</v>
      </c>
      <c r="H91" s="158" t="s">
        <v>29</v>
      </c>
      <c r="I91" s="160"/>
      <c r="K91" s="142"/>
      <c r="L91" s="158" t="str">
        <f>$L$6</f>
        <v>Dec YTD 2022</v>
      </c>
      <c r="M91" s="141"/>
      <c r="N91" s="158" t="str">
        <f>$N$6</f>
        <v>Dec YTD 2021</v>
      </c>
      <c r="P91" s="185" t="s">
        <v>204</v>
      </c>
      <c r="Q91" s="158" t="s">
        <v>29</v>
      </c>
    </row>
    <row r="92" spans="2:17" x14ac:dyDescent="0.2">
      <c r="H92" s="143"/>
      <c r="I92" s="160"/>
      <c r="Q92" s="143"/>
    </row>
    <row r="93" spans="2:17" x14ac:dyDescent="0.2">
      <c r="B93" s="20" t="s">
        <v>205</v>
      </c>
      <c r="C93" s="87">
        <f>142554.669099156*((('2022 IR Data Book'!$A$5)))</f>
        <v>38815.735200990028</v>
      </c>
      <c r="D93" s="144">
        <f>C93/$C$99</f>
        <v>0.94030611925422192</v>
      </c>
      <c r="E93" s="87">
        <f>61332.9297291905*((('2022 IR Data Book'!$A$5)))</f>
        <v>16700.138792460519</v>
      </c>
      <c r="F93" s="144">
        <f>E93/$E$99</f>
        <v>0.86834016915125178</v>
      </c>
      <c r="G93" s="146">
        <f>C93-E93</f>
        <v>22115.596408529509</v>
      </c>
      <c r="H93" s="145">
        <f>(C93/E93)-1</f>
        <v>1.3242762041303431</v>
      </c>
      <c r="I93" s="160"/>
      <c r="K93" s="20" t="s">
        <v>205</v>
      </c>
      <c r="L93" s="87">
        <f>332986.750919816*((('2022 IR Data Book'!$A$5)))</f>
        <v>90667.851364106085</v>
      </c>
      <c r="M93" s="144">
        <f>L93/$L$99</f>
        <v>0.8828255662243516</v>
      </c>
      <c r="N93" s="87">
        <f>258086.414957983*((('2022 IR Data Book'!$A$5)))</f>
        <v>70273.488797577462</v>
      </c>
      <c r="O93" s="144">
        <f>N93/$N$99</f>
        <v>0.90538948523555163</v>
      </c>
      <c r="P93" s="146">
        <f>L93-N93</f>
        <v>20394.362566528624</v>
      </c>
      <c r="Q93" s="145">
        <f>(L93/N93)-1</f>
        <v>0.29021417486862666</v>
      </c>
    </row>
    <row r="94" spans="2:17" x14ac:dyDescent="0.2">
      <c r="B94" s="20" t="s">
        <v>206</v>
      </c>
      <c r="C94" s="87">
        <f>40.384789202489*((('2022 IR Data Book'!$A$5)))</f>
        <v>10.996239504026848</v>
      </c>
      <c r="D94" s="144">
        <f t="shared" ref="D94:D97" si="32">C94/$C$99</f>
        <v>2.6638246682385985E-4</v>
      </c>
      <c r="E94" s="87">
        <f>0*((('2022 IR Data Book'!$A$5)))</f>
        <v>0</v>
      </c>
      <c r="F94" s="144">
        <f t="shared" ref="F94:F97" si="33">E94/$E$99</f>
        <v>0</v>
      </c>
      <c r="G94" s="146">
        <f t="shared" ref="G94:G97" si="34">C94-E94</f>
        <v>10.996239504026848</v>
      </c>
      <c r="H94" s="145" t="e">
        <f>(C94/E94)-1</f>
        <v>#DIV/0!</v>
      </c>
      <c r="I94" s="160"/>
      <c r="K94" s="20" t="s">
        <v>206</v>
      </c>
      <c r="L94" s="87">
        <f>40.384789202489*((('2022 IR Data Book'!$A$5)))</f>
        <v>10.996239504026848</v>
      </c>
      <c r="M94" s="144">
        <f>L94/$L$99</f>
        <v>1.0706949839912307E-4</v>
      </c>
      <c r="N94" s="87">
        <f>0*((('2022 IR Data Book'!$A$5)))</f>
        <v>0</v>
      </c>
      <c r="O94" s="144">
        <f>N94/$N$99</f>
        <v>0</v>
      </c>
      <c r="P94" s="146">
        <f t="shared" ref="P94:P97" si="35">L94-N94</f>
        <v>10.996239504026848</v>
      </c>
      <c r="Q94" s="145" t="e">
        <f>(L94/N94)-1</f>
        <v>#DIV/0!</v>
      </c>
    </row>
    <row r="95" spans="2:17" x14ac:dyDescent="0.2">
      <c r="B95" s="20" t="s">
        <v>207</v>
      </c>
      <c r="C95" s="87">
        <f>8808.97000389186*((('2022 IR Data Book'!$A$5)))</f>
        <v>2398.5650503435877</v>
      </c>
      <c r="D95" s="144">
        <f t="shared" si="32"/>
        <v>5.8104925298693322E-2</v>
      </c>
      <c r="E95" s="87">
        <f>8956.2708042349*((('2022 IR Data Book'!$A$5)))</f>
        <v>2438.6730937850298</v>
      </c>
      <c r="F95" s="144">
        <f t="shared" si="33"/>
        <v>0.12680121004251263</v>
      </c>
      <c r="G95" s="81">
        <f t="shared" si="34"/>
        <v>-40.108043441442078</v>
      </c>
      <c r="H95" s="82">
        <f>(C95/E95)-1</f>
        <v>-1.6446666649850505E-2</v>
      </c>
      <c r="I95" s="160"/>
      <c r="K95" s="20" t="s">
        <v>207</v>
      </c>
      <c r="L95" s="87">
        <f>42172.6812114186*((('2022 IR Data Book'!$A$5)))</f>
        <v>11483.05865365643</v>
      </c>
      <c r="M95" s="144">
        <f>L95/$L$99</f>
        <v>0.11180961725001198</v>
      </c>
      <c r="N95" s="87">
        <f>25508.6226016113*((('2022 IR Data Book'!$A$5)))</f>
        <v>6945.6577361028421</v>
      </c>
      <c r="O95" s="144">
        <f>N95/$N$99</f>
        <v>8.9486456271248391E-2</v>
      </c>
      <c r="P95" s="81">
        <f t="shared" si="35"/>
        <v>4537.4009175535875</v>
      </c>
      <c r="Q95" s="82">
        <f>(L95/N95)-1</f>
        <v>0.65327159643479504</v>
      </c>
    </row>
    <row r="96" spans="2:17" x14ac:dyDescent="0.2">
      <c r="B96" s="20" t="s">
        <v>208</v>
      </c>
      <c r="C96" s="87">
        <f>0*((('2022 IR Data Book'!$A$5)))</f>
        <v>0</v>
      </c>
      <c r="D96" s="144">
        <f t="shared" si="32"/>
        <v>0</v>
      </c>
      <c r="E96" s="87">
        <f>0*((('2022 IR Data Book'!$A$5)))</f>
        <v>0</v>
      </c>
      <c r="F96" s="144">
        <f t="shared" si="33"/>
        <v>0</v>
      </c>
      <c r="G96" s="146">
        <f t="shared" si="34"/>
        <v>0</v>
      </c>
      <c r="H96" s="145" t="e">
        <f>(C96/E96)-1</f>
        <v>#DIV/0!</v>
      </c>
      <c r="I96" s="160"/>
      <c r="K96" s="20" t="s">
        <v>208</v>
      </c>
      <c r="L96" s="87">
        <f>0*((('2022 IR Data Book'!$A$5)))</f>
        <v>0</v>
      </c>
      <c r="M96" s="144">
        <f>L96/$L$99</f>
        <v>0</v>
      </c>
      <c r="N96" s="87">
        <f>0*((('2022 IR Data Book'!$A$5)))</f>
        <v>0</v>
      </c>
      <c r="O96" s="144">
        <f>N96/$N$99</f>
        <v>0</v>
      </c>
      <c r="P96" s="146">
        <f t="shared" si="35"/>
        <v>0</v>
      </c>
      <c r="Q96" s="145" t="e">
        <f>(L96/N96)-1</f>
        <v>#DIV/0!</v>
      </c>
    </row>
    <row r="97" spans="2:17" x14ac:dyDescent="0.2">
      <c r="B97" s="20" t="s">
        <v>209</v>
      </c>
      <c r="C97" s="87">
        <f>200.508057642*((('2022 IR Data Book'!$A$5)))</f>
        <v>54.595669999999998</v>
      </c>
      <c r="D97" s="144">
        <f t="shared" si="32"/>
        <v>1.3225729802607156E-3</v>
      </c>
      <c r="E97" s="87">
        <f>343.175933898*((('2022 IR Data Book'!$A$5)))</f>
        <v>93.442229999999995</v>
      </c>
      <c r="F97" s="144">
        <f t="shared" si="33"/>
        <v>4.8586208062355533E-3</v>
      </c>
      <c r="G97" s="146">
        <f t="shared" si="34"/>
        <v>-38.846559999999997</v>
      </c>
      <c r="H97" s="145">
        <f>(C97/E97)-1</f>
        <v>-0.41572809210567852</v>
      </c>
      <c r="I97" s="160"/>
      <c r="K97" s="20" t="s">
        <v>209</v>
      </c>
      <c r="L97" s="87">
        <f>1983.132531204*((('2022 IR Data Book'!$A$5)))</f>
        <v>539.98054000000002</v>
      </c>
      <c r="M97" s="144">
        <f>L97/$L$99</f>
        <v>5.2577470272373991E-3</v>
      </c>
      <c r="N97" s="87">
        <f>1460.641975758*((('2022 IR Data Book'!$A$5)))</f>
        <v>397.71332999999998</v>
      </c>
      <c r="O97" s="144">
        <f>N97/$N$99</f>
        <v>5.1240584931999322E-3</v>
      </c>
      <c r="P97" s="146">
        <f t="shared" si="35"/>
        <v>142.26721000000003</v>
      </c>
      <c r="Q97" s="145">
        <f>(L97/N97)-1</f>
        <v>0.35771295369959066</v>
      </c>
    </row>
    <row r="98" spans="2:17" x14ac:dyDescent="0.2">
      <c r="C98" s="87"/>
      <c r="D98" s="144"/>
      <c r="E98" s="87"/>
      <c r="F98" s="144"/>
      <c r="G98" s="146"/>
      <c r="H98" s="145"/>
      <c r="I98" s="160"/>
      <c r="L98" s="87"/>
      <c r="M98" s="144"/>
      <c r="N98" s="87"/>
      <c r="O98" s="144"/>
      <c r="P98" s="146"/>
      <c r="Q98" s="145"/>
    </row>
    <row r="99" spans="2:17" x14ac:dyDescent="0.2">
      <c r="B99" s="71" t="s">
        <v>210</v>
      </c>
      <c r="C99" s="88">
        <f>SUM(C93:C97)</f>
        <v>41279.892160837648</v>
      </c>
      <c r="D99" s="144">
        <f>C99/$C$99</f>
        <v>1</v>
      </c>
      <c r="E99" s="88">
        <f>SUM(E93:E97)</f>
        <v>19232.254116245549</v>
      </c>
      <c r="F99" s="144">
        <f>E99/$E$99</f>
        <v>1</v>
      </c>
      <c r="G99" s="147">
        <f>C99-E99</f>
        <v>22047.638044592099</v>
      </c>
      <c r="H99" s="148">
        <f>(C99/E99)-1</f>
        <v>1.1463886610133955</v>
      </c>
      <c r="I99" s="239">
        <f>C99/$C$201</f>
        <v>9.8814487514217175E-2</v>
      </c>
      <c r="K99" s="71" t="s">
        <v>210</v>
      </c>
      <c r="L99" s="88">
        <f>SUM(L93:L97)</f>
        <v>102701.88679726653</v>
      </c>
      <c r="M99" s="144">
        <f>L99/$L$99</f>
        <v>1</v>
      </c>
      <c r="N99" s="88">
        <f>SUM(N93:N97)</f>
        <v>77616.859863680307</v>
      </c>
      <c r="O99" s="144">
        <f>N99/$N$99</f>
        <v>1</v>
      </c>
      <c r="P99" s="147">
        <f>L99-N99</f>
        <v>25085.026933586225</v>
      </c>
      <c r="Q99" s="148">
        <f>(L99/N99)-1</f>
        <v>0.32319043797498948</v>
      </c>
    </row>
    <row r="100" spans="2:17" x14ac:dyDescent="0.2">
      <c r="C100" s="87">
        <v>0</v>
      </c>
      <c r="D100" s="149"/>
      <c r="E100" s="87">
        <v>0</v>
      </c>
      <c r="F100" s="149"/>
      <c r="G100" s="186"/>
      <c r="H100" s="145"/>
      <c r="I100" s="239">
        <f>E99/$E$201</f>
        <v>4.3828995081414704E-2</v>
      </c>
      <c r="L100" s="87">
        <v>0</v>
      </c>
      <c r="M100" s="149"/>
      <c r="N100" s="87">
        <v>0</v>
      </c>
      <c r="O100" s="149"/>
      <c r="P100" s="186"/>
      <c r="Q100" s="145"/>
    </row>
    <row r="101" spans="2:17" x14ac:dyDescent="0.2">
      <c r="B101" s="71" t="s">
        <v>33</v>
      </c>
      <c r="C101" s="88">
        <f>47463.9397344211*((('2022 IR Data Book'!$A$5)))</f>
        <v>12923.797782067501</v>
      </c>
      <c r="D101" s="144">
        <f>C101/$C$99</f>
        <v>0.3130773145364063</v>
      </c>
      <c r="E101" s="88">
        <f>12404.7281204791*((('2022 IR Data Book'!$A$5)))</f>
        <v>3377.6420302998145</v>
      </c>
      <c r="F101" s="144">
        <f>E101/$E$99</f>
        <v>0.17562382494970827</v>
      </c>
      <c r="G101" s="147">
        <f>C101-E101</f>
        <v>9546.1557517676865</v>
      </c>
      <c r="H101" s="148">
        <f>(C101/E101)-1</f>
        <v>2.8262781153633165</v>
      </c>
      <c r="I101" s="160"/>
      <c r="K101" s="71" t="s">
        <v>33</v>
      </c>
      <c r="L101" s="88">
        <f>82526.3720452463*((('2022 IR Data Book'!$A$5)))</f>
        <v>22470.830486643332</v>
      </c>
      <c r="M101" s="144">
        <f>L101/$L$99</f>
        <v>0.21879666661821645</v>
      </c>
      <c r="N101" s="88">
        <f>43271.7568748644*((('2022 IR Data Book'!$A$5)))</f>
        <v>11782.322298879375</v>
      </c>
      <c r="O101" s="144">
        <f>N101/$N$99</f>
        <v>0.15180106898904247</v>
      </c>
      <c r="P101" s="147">
        <f>L101-N101</f>
        <v>10688.508187763957</v>
      </c>
      <c r="Q101" s="148">
        <f>(L101/N101)-1</f>
        <v>0.90716481153978856</v>
      </c>
    </row>
    <row r="102" spans="2:17" x14ac:dyDescent="0.2">
      <c r="I102" s="160"/>
    </row>
    <row r="103" spans="2:17" x14ac:dyDescent="0.2">
      <c r="B103" s="71" t="s">
        <v>211</v>
      </c>
      <c r="C103" s="158" t="str">
        <f>$C$6</f>
        <v>Q4'22</v>
      </c>
      <c r="D103" s="141"/>
      <c r="E103" s="158" t="str">
        <f>$E$6</f>
        <v>Q4'21</v>
      </c>
      <c r="G103" s="185" t="s">
        <v>204</v>
      </c>
      <c r="H103" s="158" t="s">
        <v>29</v>
      </c>
      <c r="I103" s="160"/>
      <c r="K103" s="71" t="s">
        <v>211</v>
      </c>
      <c r="L103" s="158" t="str">
        <f>$L$6</f>
        <v>Dec YTD 2022</v>
      </c>
      <c r="M103" s="141"/>
      <c r="N103" s="158" t="str">
        <f>$N$6</f>
        <v>Dec YTD 2021</v>
      </c>
      <c r="P103" s="185" t="s">
        <v>204</v>
      </c>
      <c r="Q103" s="158" t="s">
        <v>29</v>
      </c>
    </row>
    <row r="104" spans="2:17" x14ac:dyDescent="0.2">
      <c r="B104" s="20" t="s">
        <v>206</v>
      </c>
      <c r="C104" s="83">
        <v>0</v>
      </c>
      <c r="D104" s="83"/>
      <c r="E104" s="83">
        <v>0</v>
      </c>
      <c r="F104" s="90"/>
      <c r="G104" s="146">
        <f t="shared" ref="G104:G106" si="36">C104-E104</f>
        <v>0</v>
      </c>
      <c r="H104" s="145" t="e">
        <f t="shared" ref="H104:H106" si="37">(C104/E104)-1</f>
        <v>#DIV/0!</v>
      </c>
      <c r="I104" s="161"/>
      <c r="K104" s="20" t="s">
        <v>206</v>
      </c>
      <c r="L104" s="83">
        <v>0</v>
      </c>
      <c r="M104" s="83"/>
      <c r="N104" s="83">
        <v>0</v>
      </c>
      <c r="O104" s="90"/>
      <c r="P104" s="146">
        <f t="shared" ref="P104:P106" si="38">L104-N104</f>
        <v>0</v>
      </c>
      <c r="Q104" s="145" t="e">
        <f t="shared" ref="Q104:Q106" si="39">(L104/N104)-1</f>
        <v>#DIV/0!</v>
      </c>
    </row>
    <row r="105" spans="2:17" x14ac:dyDescent="0.2">
      <c r="B105" s="71" t="s">
        <v>205</v>
      </c>
      <c r="C105" s="159">
        <v>1245508</v>
      </c>
      <c r="D105" s="84"/>
      <c r="E105" s="159">
        <v>1192660</v>
      </c>
      <c r="F105" s="150"/>
      <c r="G105" s="146">
        <f t="shared" si="36"/>
        <v>52848</v>
      </c>
      <c r="H105" s="145">
        <v>-4.6455756302732354E-3</v>
      </c>
      <c r="I105" s="160"/>
      <c r="K105" s="71" t="s">
        <v>205</v>
      </c>
      <c r="L105" s="159">
        <v>4597955</v>
      </c>
      <c r="M105" s="84"/>
      <c r="N105" s="159">
        <v>4595034.296000924</v>
      </c>
      <c r="O105" s="150"/>
      <c r="P105" s="146">
        <f t="shared" si="38"/>
        <v>2920.7039990760386</v>
      </c>
      <c r="Q105" s="145">
        <v>2.3440676236066826E-2</v>
      </c>
    </row>
    <row r="106" spans="2:17" x14ac:dyDescent="0.2">
      <c r="B106" s="152"/>
      <c r="C106" s="153">
        <f>C105+C104</f>
        <v>1245508</v>
      </c>
      <c r="D106" s="152"/>
      <c r="E106" s="153">
        <f>E105+E104</f>
        <v>1192660</v>
      </c>
      <c r="F106" s="152"/>
      <c r="G106" s="146">
        <f t="shared" si="36"/>
        <v>52848</v>
      </c>
      <c r="H106" s="145">
        <f t="shared" si="37"/>
        <v>4.4311035835862711E-2</v>
      </c>
      <c r="I106" s="162"/>
      <c r="K106" s="152"/>
      <c r="L106" s="153">
        <f>L105+L104</f>
        <v>4597955</v>
      </c>
      <c r="M106" s="152"/>
      <c r="N106" s="153">
        <f>N105+N104</f>
        <v>4595034.296000924</v>
      </c>
      <c r="O106" s="152"/>
      <c r="P106" s="146">
        <f t="shared" si="38"/>
        <v>2920.7039990760386</v>
      </c>
      <c r="Q106" s="145">
        <f t="shared" si="39"/>
        <v>6.3562180626552944E-4</v>
      </c>
    </row>
    <row r="107" spans="2:17" x14ac:dyDescent="0.2">
      <c r="I107" s="160"/>
    </row>
    <row r="108" spans="2:17" x14ac:dyDescent="0.2">
      <c r="B108" s="71" t="s">
        <v>213</v>
      </c>
      <c r="I108" s="160"/>
      <c r="K108" s="71" t="s">
        <v>213</v>
      </c>
    </row>
    <row r="109" spans="2:17" x14ac:dyDescent="0.2">
      <c r="B109" s="58"/>
      <c r="I109" s="160"/>
      <c r="K109" s="58"/>
    </row>
    <row r="110" spans="2:17" x14ac:dyDescent="0.2">
      <c r="B110" s="50"/>
      <c r="I110" s="160"/>
      <c r="K110" s="50"/>
    </row>
    <row r="111" spans="2:17" x14ac:dyDescent="0.2">
      <c r="C111" s="158" t="s">
        <v>203</v>
      </c>
      <c r="D111" s="141"/>
      <c r="E111" s="158" t="s">
        <v>203</v>
      </c>
      <c r="I111" s="160"/>
      <c r="L111" s="158" t="s">
        <v>203</v>
      </c>
      <c r="M111" s="141"/>
      <c r="N111" s="158" t="s">
        <v>203</v>
      </c>
    </row>
    <row r="112" spans="2:17" x14ac:dyDescent="0.2">
      <c r="B112" s="142"/>
      <c r="C112" s="158" t="str">
        <f>$C$6</f>
        <v>Q4'22</v>
      </c>
      <c r="D112" s="141"/>
      <c r="E112" s="158" t="str">
        <f>$E$6</f>
        <v>Q4'21</v>
      </c>
      <c r="G112" s="185" t="s">
        <v>204</v>
      </c>
      <c r="H112" s="158" t="s">
        <v>29</v>
      </c>
      <c r="I112" s="160"/>
      <c r="K112" s="142"/>
      <c r="L112" s="158" t="str">
        <f>$L$6</f>
        <v>Dec YTD 2022</v>
      </c>
      <c r="M112" s="141"/>
      <c r="N112" s="158" t="str">
        <f>$N$6</f>
        <v>Dec YTD 2021</v>
      </c>
      <c r="P112" s="185" t="s">
        <v>204</v>
      </c>
      <c r="Q112" s="158" t="s">
        <v>29</v>
      </c>
    </row>
    <row r="113" spans="2:17" x14ac:dyDescent="0.2">
      <c r="H113" s="143"/>
      <c r="I113" s="160"/>
      <c r="Q113" s="143"/>
    </row>
    <row r="114" spans="2:17" x14ac:dyDescent="0.2">
      <c r="B114" s="20" t="s">
        <v>205</v>
      </c>
      <c r="C114" s="87">
        <f>45517.6889223392*((('2022 IR Data Book'!$A$5)))</f>
        <v>12393.859642307683</v>
      </c>
      <c r="D114" s="144">
        <f>C114/$C$120</f>
        <v>0.91135397172231492</v>
      </c>
      <c r="E114" s="87">
        <f>165612.804750844*((('2022 IR Data Book'!$A$5)))</f>
        <v>45094.158021794909</v>
      </c>
      <c r="F114" s="144">
        <f>E114/$E$120</f>
        <v>0.97918887369928664</v>
      </c>
      <c r="G114" s="146">
        <f>C114-E114</f>
        <v>-32700.298379487227</v>
      </c>
      <c r="H114" s="145">
        <f>(C114/E114)-1</f>
        <v>-0.72515598059692166</v>
      </c>
      <c r="I114" s="160"/>
      <c r="K114" s="20" t="s">
        <v>205</v>
      </c>
      <c r="L114" s="87">
        <f>265107.445092999*((('2022 IR Data Book'!$A$5)))</f>
        <v>72185.221666666403</v>
      </c>
      <c r="M114" s="144">
        <f>L114/$L$120</f>
        <v>0.92595276133256765</v>
      </c>
      <c r="N114" s="87">
        <f>588125.260645821*((('2022 IR Data Book'!$A$5)))</f>
        <v>160138.66488205112</v>
      </c>
      <c r="O114" s="144">
        <f>N114/$N$120</f>
        <v>0.98202201527827981</v>
      </c>
      <c r="P114" s="146">
        <f>L114-N114</f>
        <v>-87953.443215384716</v>
      </c>
      <c r="Q114" s="145">
        <f>(L114/N114)-1</f>
        <v>-0.54923302426785026</v>
      </c>
    </row>
    <row r="115" spans="2:17" x14ac:dyDescent="0.2">
      <c r="B115" s="20" t="s">
        <v>206</v>
      </c>
      <c r="C115" s="87">
        <f>6.3672242876923*((('2022 IR Data Book'!$A$5)))</f>
        <v>1.7337102564102544</v>
      </c>
      <c r="D115" s="144">
        <f t="shared" ref="D115:D118" si="40">C115/$C$120</f>
        <v>1.2748439740285818E-4</v>
      </c>
      <c r="E115" s="87">
        <f>7.28150393230768*((('2022 IR Data Book'!$A$5)))</f>
        <v>1.9826564102564068</v>
      </c>
      <c r="F115" s="144">
        <f t="shared" ref="F115:F118" si="41">E115/$E$120</f>
        <v>4.3052031182250406E-5</v>
      </c>
      <c r="G115" s="146">
        <f t="shared" ref="G115:G118" si="42">C115-E115</f>
        <v>-0.24894615384615237</v>
      </c>
      <c r="H115" s="145">
        <f>(C115/E115)-1</f>
        <v>-0.12556192417321443</v>
      </c>
      <c r="I115" s="160"/>
      <c r="K115" s="20" t="s">
        <v>206</v>
      </c>
      <c r="L115" s="87">
        <f>167.242679878461*((('2022 IR Data Book'!$A$5)))</f>
        <v>45.537951282051132</v>
      </c>
      <c r="M115" s="144">
        <f>L115/$L$120</f>
        <v>5.8413607053470532E-4</v>
      </c>
      <c r="N115" s="87">
        <f>33.0954748123076*((('2022 IR Data Book'!$A$5)))</f>
        <v>9.0114564102563843</v>
      </c>
      <c r="O115" s="144">
        <f>N115/$N$120</f>
        <v>5.5261161263648226E-5</v>
      </c>
      <c r="P115" s="146">
        <f t="shared" ref="P115:P118" si="43">L115-N115</f>
        <v>36.526494871794746</v>
      </c>
      <c r="Q115" s="145">
        <f>(L115/N115)-1</f>
        <v>4.0533397942448168</v>
      </c>
    </row>
    <row r="116" spans="2:17" x14ac:dyDescent="0.2">
      <c r="B116" s="20" t="s">
        <v>207</v>
      </c>
      <c r="C116" s="87">
        <f>3936.65808486615*((('2022 IR Data Book'!$A$5)))</f>
        <v>1071.8994948717939</v>
      </c>
      <c r="D116" s="144">
        <f t="shared" si="40"/>
        <v>7.8819664747846185E-2</v>
      </c>
      <c r="E116" s="87">
        <f>3461.03240937999*((('2022 IR Data Book'!$A$5)))</f>
        <v>942.39296666666394</v>
      </c>
      <c r="F116" s="144">
        <f t="shared" si="41"/>
        <v>2.0463420276446046E-2</v>
      </c>
      <c r="G116" s="81">
        <f t="shared" si="42"/>
        <v>129.50652820512994</v>
      </c>
      <c r="H116" s="82">
        <f>(C116/E116)-1</f>
        <v>0.13742306318690733</v>
      </c>
      <c r="I116" s="160"/>
      <c r="K116" s="20" t="s">
        <v>207</v>
      </c>
      <c r="L116" s="87">
        <f>19736.5511993423*((('2022 IR Data Book'!$A$5)))</f>
        <v>5373.9996730769208</v>
      </c>
      <c r="M116" s="144">
        <f>L116/$L$120</f>
        <v>6.8934744838273929E-2</v>
      </c>
      <c r="N116" s="87">
        <f>10457.2669530577*((('2022 IR Data Book'!$A$5)))</f>
        <v>2847.374326923079</v>
      </c>
      <c r="O116" s="144">
        <f>N116/$N$120</f>
        <v>1.7461019028953098E-2</v>
      </c>
      <c r="P116" s="81">
        <f t="shared" si="43"/>
        <v>2526.6253461538417</v>
      </c>
      <c r="Q116" s="82">
        <f>(L116/N116)-1</f>
        <v>0.88735271729592213</v>
      </c>
    </row>
    <row r="117" spans="2:17" x14ac:dyDescent="0.2">
      <c r="B117" s="20" t="s">
        <v>208</v>
      </c>
      <c r="C117" s="87">
        <f>484.411740052307*((('2022 IR Data Book'!$A$5)))</f>
        <v>131.8988564102562</v>
      </c>
      <c r="D117" s="144">
        <f t="shared" si="40"/>
        <v>9.698879132435969E-3</v>
      </c>
      <c r="E117" s="87">
        <f>51.5269358430768*((('2022 IR Data Book'!$A$5)))</f>
        <v>14.030097435897401</v>
      </c>
      <c r="F117" s="144">
        <f t="shared" si="41"/>
        <v>3.0465399308504042E-4</v>
      </c>
      <c r="G117" s="146">
        <f t="shared" si="42"/>
        <v>117.8687589743588</v>
      </c>
      <c r="H117" s="145">
        <f>(C117/E117)-1</f>
        <v>8.4011361655108576</v>
      </c>
      <c r="I117" s="160"/>
      <c r="K117" s="20" t="s">
        <v>208</v>
      </c>
      <c r="L117" s="87">
        <f>1296.50388873846*((('2022 IR Data Book'!$A$5)))</f>
        <v>353.02071794871756</v>
      </c>
      <c r="M117" s="144">
        <f>L117/$L$120</f>
        <v>4.5283577586237023E-3</v>
      </c>
      <c r="N117" s="87">
        <f>276.511212281538*((('2022 IR Data Book'!$A$5)))</f>
        <v>75.290315384615255</v>
      </c>
      <c r="O117" s="144">
        <f>N117/$N$120</f>
        <v>4.6170453150333609E-4</v>
      </c>
      <c r="P117" s="146">
        <f t="shared" si="43"/>
        <v>277.73040256410229</v>
      </c>
      <c r="Q117" s="145">
        <f>(L117/N117)-1</f>
        <v>3.6887931886768728</v>
      </c>
    </row>
    <row r="118" spans="2:17" x14ac:dyDescent="0.2">
      <c r="B118" s="20" t="s">
        <v>209</v>
      </c>
      <c r="C118" s="87">
        <f>0*((('2022 IR Data Book'!$A$5)))</f>
        <v>0</v>
      </c>
      <c r="D118" s="144">
        <f t="shared" si="40"/>
        <v>0</v>
      </c>
      <c r="E118" s="87">
        <f>0*((('2022 IR Data Book'!$A$5)))</f>
        <v>0</v>
      </c>
      <c r="F118" s="144">
        <f t="shared" si="41"/>
        <v>0</v>
      </c>
      <c r="G118" s="146">
        <f t="shared" si="42"/>
        <v>0</v>
      </c>
      <c r="H118" s="145" t="e">
        <f>(C118/E118)-1</f>
        <v>#DIV/0!</v>
      </c>
      <c r="I118" s="160"/>
      <c r="K118" s="20" t="s">
        <v>209</v>
      </c>
      <c r="L118" s="87">
        <f>0*((('2022 IR Data Book'!$A$5)))</f>
        <v>0</v>
      </c>
      <c r="M118" s="144">
        <f>L118/$L$120</f>
        <v>0</v>
      </c>
      <c r="N118" s="87">
        <f>0*((('2022 IR Data Book'!$A$5)))</f>
        <v>0</v>
      </c>
      <c r="O118" s="144">
        <f>N118/$N$120</f>
        <v>0</v>
      </c>
      <c r="P118" s="146">
        <f t="shared" si="43"/>
        <v>0</v>
      </c>
      <c r="Q118" s="145" t="e">
        <f>(L118/N118)-1</f>
        <v>#DIV/0!</v>
      </c>
    </row>
    <row r="119" spans="2:17" x14ac:dyDescent="0.2">
      <c r="C119" s="87"/>
      <c r="D119" s="144"/>
      <c r="E119" s="87"/>
      <c r="F119" s="144"/>
      <c r="G119" s="146"/>
      <c r="H119" s="145"/>
      <c r="I119" s="160"/>
      <c r="L119" s="87"/>
      <c r="M119" s="144"/>
      <c r="N119" s="87"/>
      <c r="O119" s="144"/>
      <c r="P119" s="146"/>
      <c r="Q119" s="145"/>
    </row>
    <row r="120" spans="2:17" x14ac:dyDescent="0.2">
      <c r="B120" s="71" t="s">
        <v>210</v>
      </c>
      <c r="C120" s="88">
        <f>SUM(C114:C118)</f>
        <v>13599.391703846144</v>
      </c>
      <c r="D120" s="144">
        <f>C120/$C$120</f>
        <v>1</v>
      </c>
      <c r="E120" s="88">
        <f>SUM(E114:E118)</f>
        <v>46052.563742307728</v>
      </c>
      <c r="F120" s="144">
        <f>E120/$E$120</f>
        <v>1</v>
      </c>
      <c r="G120" s="147">
        <f>C120-E120</f>
        <v>-32453.172038461584</v>
      </c>
      <c r="H120" s="148">
        <f>(C120/E120)-1</f>
        <v>-0.70469848801593193</v>
      </c>
      <c r="I120" s="239">
        <f>C120/$C$201</f>
        <v>3.2553789542007001E-2</v>
      </c>
      <c r="K120" s="71" t="s">
        <v>210</v>
      </c>
      <c r="L120" s="88">
        <f>SUM(L114:L118)</f>
        <v>77957.780008974092</v>
      </c>
      <c r="M120" s="144">
        <f>L120/$L$120</f>
        <v>1</v>
      </c>
      <c r="N120" s="88">
        <f>SUM(N114:N118)</f>
        <v>163070.34098076908</v>
      </c>
      <c r="O120" s="144">
        <f>N120/$N$120</f>
        <v>1</v>
      </c>
      <c r="P120" s="147">
        <f>L120-N120</f>
        <v>-85112.560971794985</v>
      </c>
      <c r="Q120" s="148">
        <f>(L120/N120)-1</f>
        <v>-0.52193771387178445</v>
      </c>
    </row>
    <row r="121" spans="2:17" x14ac:dyDescent="0.2">
      <c r="C121" s="87">
        <v>0</v>
      </c>
      <c r="D121" s="149"/>
      <c r="E121" s="87">
        <v>0</v>
      </c>
      <c r="F121" s="149"/>
      <c r="G121" s="186"/>
      <c r="H121" s="145"/>
      <c r="I121" s="239">
        <f>E120/$E$201</f>
        <v>0.10495065100263841</v>
      </c>
      <c r="L121" s="87">
        <v>0</v>
      </c>
      <c r="M121" s="149"/>
      <c r="N121" s="87">
        <v>0</v>
      </c>
      <c r="O121" s="149"/>
      <c r="P121" s="186"/>
      <c r="Q121" s="145"/>
    </row>
    <row r="122" spans="2:17" x14ac:dyDescent="0.2">
      <c r="B122" s="71" t="s">
        <v>33</v>
      </c>
      <c r="C122" s="88">
        <f>13826.7800020292*((('2022 IR Data Book'!$A$5)))</f>
        <v>3764.8477923076834</v>
      </c>
      <c r="D122" s="144">
        <f>C122/$C$120</f>
        <v>0.27683942593130245</v>
      </c>
      <c r="E122" s="88">
        <f>26051.5985292422*((('2022 IR Data Book'!$A$5)))</f>
        <v>7093.5028397435599</v>
      </c>
      <c r="F122" s="144">
        <f>E122/$E$120</f>
        <v>0.15403057426804834</v>
      </c>
      <c r="G122" s="147">
        <f>C122-E122</f>
        <v>-3328.6550474358764</v>
      </c>
      <c r="H122" s="148">
        <f>(C122/E122)-1</f>
        <v>-0.46925406567627626</v>
      </c>
      <c r="I122" s="160"/>
      <c r="K122" s="71" t="s">
        <v>33</v>
      </c>
      <c r="L122" s="88">
        <f>80370.8810465283*((('2022 IR Data Book'!$A$5)))</f>
        <v>21883.919034615341</v>
      </c>
      <c r="M122" s="144">
        <f>L122/$L$120</f>
        <v>0.28071501051076853</v>
      </c>
      <c r="N122" s="88">
        <f>146298.486139498*((('2022 IR Data Book'!$A$5)))</f>
        <v>39835.126651281927</v>
      </c>
      <c r="O122" s="144">
        <f>N122/$N$120</f>
        <v>0.24428186273296437</v>
      </c>
      <c r="P122" s="147">
        <f>L122-N122</f>
        <v>-17951.207616666587</v>
      </c>
      <c r="Q122" s="148">
        <f>(L122/N122)-1</f>
        <v>-0.45063764385167082</v>
      </c>
    </row>
    <row r="123" spans="2:17" x14ac:dyDescent="0.2">
      <c r="I123" s="160"/>
    </row>
    <row r="124" spans="2:17" x14ac:dyDescent="0.2">
      <c r="B124" s="71" t="s">
        <v>211</v>
      </c>
      <c r="C124" s="158" t="str">
        <f>$C$6</f>
        <v>Q4'22</v>
      </c>
      <c r="D124" s="141"/>
      <c r="E124" s="158" t="str">
        <f>$E$6</f>
        <v>Q4'21</v>
      </c>
      <c r="G124" s="185" t="s">
        <v>204</v>
      </c>
      <c r="H124" s="158" t="s">
        <v>29</v>
      </c>
      <c r="I124" s="160"/>
      <c r="K124" s="71" t="s">
        <v>211</v>
      </c>
      <c r="L124" s="158" t="str">
        <f>$L$6</f>
        <v>Dec YTD 2022</v>
      </c>
      <c r="M124" s="141"/>
      <c r="N124" s="158" t="str">
        <f>$N$6</f>
        <v>Dec YTD 2021</v>
      </c>
      <c r="P124" s="185" t="s">
        <v>204</v>
      </c>
      <c r="Q124" s="158" t="s">
        <v>29</v>
      </c>
    </row>
    <row r="125" spans="2:17" x14ac:dyDescent="0.2">
      <c r="B125" s="20" t="s">
        <v>206</v>
      </c>
      <c r="C125" s="83">
        <v>132</v>
      </c>
      <c r="D125" s="83"/>
      <c r="E125" s="83">
        <v>59</v>
      </c>
      <c r="F125" s="90"/>
      <c r="G125" s="146">
        <f t="shared" ref="G125:G127" si="44">C125-E125</f>
        <v>73</v>
      </c>
      <c r="H125" s="145">
        <f t="shared" ref="H125:H127" si="45">(C125/E125)-1</f>
        <v>1.2372881355932202</v>
      </c>
      <c r="I125" s="161"/>
      <c r="K125" s="20" t="s">
        <v>206</v>
      </c>
      <c r="L125" s="83">
        <v>829</v>
      </c>
      <c r="M125" s="83"/>
      <c r="N125" s="83">
        <v>523</v>
      </c>
      <c r="O125" s="90"/>
      <c r="P125" s="146">
        <f t="shared" ref="P125:P127" si="46">L125-N125</f>
        <v>306</v>
      </c>
      <c r="Q125" s="145">
        <f t="shared" ref="Q125:Q127" si="47">(L125/N125)-1</f>
        <v>0.58508604206500947</v>
      </c>
    </row>
    <row r="126" spans="2:17" x14ac:dyDescent="0.2">
      <c r="B126" s="71" t="s">
        <v>205</v>
      </c>
      <c r="C126" s="159">
        <v>257808</v>
      </c>
      <c r="D126" s="84"/>
      <c r="E126" s="159">
        <v>804777</v>
      </c>
      <c r="F126" s="150"/>
      <c r="G126" s="146">
        <f>C126-E126</f>
        <v>-546969</v>
      </c>
      <c r="H126" s="145">
        <v>-0.55650563316809376</v>
      </c>
      <c r="I126" s="160"/>
      <c r="K126" s="71" t="s">
        <v>205</v>
      </c>
      <c r="L126" s="159">
        <v>1415277</v>
      </c>
      <c r="M126" s="84"/>
      <c r="N126" s="159">
        <v>3440797.2387740174</v>
      </c>
      <c r="O126" s="150"/>
      <c r="P126" s="146">
        <f t="shared" si="46"/>
        <v>-2025520.2387740174</v>
      </c>
      <c r="Q126" s="145">
        <v>-0.55545761783676606</v>
      </c>
    </row>
    <row r="127" spans="2:17" x14ac:dyDescent="0.2">
      <c r="B127" s="152"/>
      <c r="C127" s="153">
        <f>C126+C125</f>
        <v>257940</v>
      </c>
      <c r="D127" s="152"/>
      <c r="E127" s="153">
        <f>E126+E125</f>
        <v>804836</v>
      </c>
      <c r="F127" s="152"/>
      <c r="G127" s="146">
        <f t="shared" si="44"/>
        <v>-546896</v>
      </c>
      <c r="H127" s="145">
        <f t="shared" si="45"/>
        <v>-0.67951234785720316</v>
      </c>
      <c r="I127" s="162"/>
      <c r="K127" s="152"/>
      <c r="L127" s="153">
        <f>L126+L125</f>
        <v>1416106</v>
      </c>
      <c r="M127" s="152"/>
      <c r="N127" s="153">
        <f>N126+N125</f>
        <v>3441320.2387740174</v>
      </c>
      <c r="O127" s="152"/>
      <c r="P127" s="146">
        <f t="shared" si="46"/>
        <v>-2025214.2387740174</v>
      </c>
      <c r="Q127" s="145">
        <f t="shared" si="47"/>
        <v>-0.5884992090987462</v>
      </c>
    </row>
    <row r="128" spans="2:17" x14ac:dyDescent="0.2">
      <c r="I128" s="160"/>
    </row>
    <row r="129" spans="2:17" x14ac:dyDescent="0.2">
      <c r="B129" s="71" t="s">
        <v>214</v>
      </c>
      <c r="I129" s="160"/>
      <c r="K129" s="71" t="s">
        <v>214</v>
      </c>
    </row>
    <row r="130" spans="2:17" x14ac:dyDescent="0.2">
      <c r="B130" s="58"/>
      <c r="I130" s="160"/>
      <c r="K130" s="58"/>
    </row>
    <row r="131" spans="2:17" x14ac:dyDescent="0.2">
      <c r="B131" s="50"/>
      <c r="I131" s="160"/>
      <c r="K131" s="50"/>
    </row>
    <row r="132" spans="2:17" x14ac:dyDescent="0.2">
      <c r="C132" s="158" t="s">
        <v>203</v>
      </c>
      <c r="D132" s="141"/>
      <c r="E132" s="158" t="s">
        <v>203</v>
      </c>
      <c r="I132" s="160"/>
      <c r="L132" s="158" t="s">
        <v>203</v>
      </c>
      <c r="M132" s="141"/>
      <c r="N132" s="158" t="s">
        <v>203</v>
      </c>
    </row>
    <row r="133" spans="2:17" x14ac:dyDescent="0.2">
      <c r="B133" s="142"/>
      <c r="C133" s="158" t="str">
        <f>$C$6</f>
        <v>Q4'22</v>
      </c>
      <c r="D133" s="141"/>
      <c r="E133" s="158" t="str">
        <f>$E$6</f>
        <v>Q4'21</v>
      </c>
      <c r="G133" s="185" t="s">
        <v>204</v>
      </c>
      <c r="H133" s="158" t="s">
        <v>29</v>
      </c>
      <c r="I133" s="160"/>
      <c r="K133" s="142"/>
      <c r="L133" s="158" t="str">
        <f>$L$6</f>
        <v>Dec YTD 2022</v>
      </c>
      <c r="M133" s="141"/>
      <c r="N133" s="158" t="str">
        <f>$N$6</f>
        <v>Dec YTD 2021</v>
      </c>
      <c r="P133" s="185" t="s">
        <v>204</v>
      </c>
      <c r="Q133" s="158" t="s">
        <v>29</v>
      </c>
    </row>
    <row r="134" spans="2:17" x14ac:dyDescent="0.2">
      <c r="H134" s="143"/>
      <c r="I134" s="160"/>
      <c r="Q134" s="143"/>
    </row>
    <row r="135" spans="2:17" x14ac:dyDescent="0.2">
      <c r="B135" s="20" t="s">
        <v>205</v>
      </c>
      <c r="C135" s="87">
        <f>76352.6115013156*((('2022 IR Data Book'!$A$5)))</f>
        <v>20789.797827510643</v>
      </c>
      <c r="D135" s="144">
        <f>C135/$C$141</f>
        <v>0.70792000368347674</v>
      </c>
      <c r="E135" s="87">
        <f>126857.517688941*((('2022 IR Data Book'!$A$5)))</f>
        <v>34541.610218630129</v>
      </c>
      <c r="F135" s="144">
        <f>E135/$E$141</f>
        <v>0.78670616447168085</v>
      </c>
      <c r="G135" s="146">
        <f>C135-E135</f>
        <v>-13751.812391119485</v>
      </c>
      <c r="H135" s="145">
        <f>(C135/E135)-1</f>
        <v>-0.39812308413179887</v>
      </c>
      <c r="I135" s="160"/>
      <c r="K135" s="20" t="s">
        <v>205</v>
      </c>
      <c r="L135" s="87">
        <f>359169.227274858*((('2022 IR Data Book'!$A$5)))</f>
        <v>97796.990490349606</v>
      </c>
      <c r="M135" s="144">
        <f>L135/$L$141</f>
        <v>0.73290084109553222</v>
      </c>
      <c r="N135" s="87">
        <f>419619.957533446*((('2022 IR Data Book'!$A$5)))</f>
        <v>114256.91813250721</v>
      </c>
      <c r="O135" s="144">
        <f>N135/$N$141</f>
        <v>0.78554588876876297</v>
      </c>
      <c r="P135" s="146">
        <f>L135-N135</f>
        <v>-16459.927642157607</v>
      </c>
      <c r="Q135" s="145">
        <f>(L135/N135)-1</f>
        <v>-0.14406066530753547</v>
      </c>
    </row>
    <row r="136" spans="2:17" x14ac:dyDescent="0.2">
      <c r="B136" s="20" t="s">
        <v>206</v>
      </c>
      <c r="C136" s="87">
        <f>3617.38259618105*((('2022 IR Data Book'!$A$5)))</f>
        <v>984.96503735257033</v>
      </c>
      <c r="D136" s="144">
        <f t="shared" ref="D136:D139" si="48">C136/$C$141</f>
        <v>3.3539357075807547E-2</v>
      </c>
      <c r="E136" s="87">
        <f>3758.74890601334*((('2022 IR Data Book'!$A$5)))</f>
        <v>1023.4571981738658</v>
      </c>
      <c r="F136" s="144">
        <f t="shared" ref="F136:F139" si="49">E136/$E$141</f>
        <v>2.3309859667226204E-2</v>
      </c>
      <c r="G136" s="146">
        <f t="shared" ref="G136:G139" si="50">C136-E136</f>
        <v>-38.492160821295442</v>
      </c>
      <c r="H136" s="145">
        <f>(C136/E136)-1</f>
        <v>-3.7609937074043032E-2</v>
      </c>
      <c r="I136" s="160"/>
      <c r="K136" s="20" t="s">
        <v>206</v>
      </c>
      <c r="L136" s="87">
        <f>13976.0613578315*((('2022 IR Data Book'!$A$5)))</f>
        <v>3805.4951145868049</v>
      </c>
      <c r="M136" s="144">
        <f>L136/$L$141</f>
        <v>2.8518777073624015E-2</v>
      </c>
      <c r="N136" s="87">
        <f>12341.19463067*((('2022 IR Data Book'!$A$5)))</f>
        <v>3360.3427083455858</v>
      </c>
      <c r="O136" s="144">
        <f>N136/$N$141</f>
        <v>2.3103225980011303E-2</v>
      </c>
      <c r="P136" s="146">
        <f t="shared" ref="P136:P139" si="51">L136-N136</f>
        <v>445.15240624121907</v>
      </c>
      <c r="Q136" s="145">
        <f>(L136/N136)-1</f>
        <v>0.13247232347333493</v>
      </c>
    </row>
    <row r="137" spans="2:17" x14ac:dyDescent="0.2">
      <c r="B137" s="20" t="s">
        <v>207</v>
      </c>
      <c r="C137" s="87">
        <f>21408.2806920473*((('2022 IR Data Book'!$A$5)))</f>
        <v>5829.1893187516471</v>
      </c>
      <c r="D137" s="144">
        <f t="shared" si="48"/>
        <v>0.19849157544676641</v>
      </c>
      <c r="E137" s="87">
        <f>25515.4014991134*((('2022 IR Data Book'!$A$5)))</f>
        <v>6947.5035394852139</v>
      </c>
      <c r="F137" s="144">
        <f t="shared" si="49"/>
        <v>0.15823361527176075</v>
      </c>
      <c r="G137" s="81">
        <f t="shared" si="50"/>
        <v>-1118.3142207335668</v>
      </c>
      <c r="H137" s="82">
        <f>(C137/E137)-1</f>
        <v>-0.16096634055352066</v>
      </c>
      <c r="I137" s="160"/>
      <c r="K137" s="20" t="s">
        <v>207</v>
      </c>
      <c r="L137" s="87">
        <f>92642.5320528684*((('2022 IR Data Book'!$A$5)))</f>
        <v>25225.325941531446</v>
      </c>
      <c r="M137" s="144">
        <f>L137/$L$141</f>
        <v>0.18904122209447405</v>
      </c>
      <c r="N137" s="87">
        <f>82956.5628830381*((('2022 IR Data Book'!$A$5)))</f>
        <v>22587.96571449058</v>
      </c>
      <c r="O137" s="144">
        <f>N137/$N$141</f>
        <v>0.15529811142017438</v>
      </c>
      <c r="P137" s="81">
        <f t="shared" si="51"/>
        <v>2637.3602270408664</v>
      </c>
      <c r="Q137" s="82">
        <f>(L137/N137)-1</f>
        <v>0.11675952851960258</v>
      </c>
    </row>
    <row r="138" spans="2:17" x14ac:dyDescent="0.2">
      <c r="B138" s="20" t="s">
        <v>208</v>
      </c>
      <c r="C138" s="87">
        <f>6117.87149837877*((('2022 IR Data Book'!$A$5)))</f>
        <v>1665.8148173987829</v>
      </c>
      <c r="D138" s="144">
        <f t="shared" si="48"/>
        <v>5.6723189010931367E-2</v>
      </c>
      <c r="E138" s="87">
        <f>5015.09947695472*((('2022 IR Data Book'!$A$5)))</f>
        <v>1365.5447031952076</v>
      </c>
      <c r="F138" s="144">
        <f t="shared" si="49"/>
        <v>3.1101110488644911E-2</v>
      </c>
      <c r="G138" s="146">
        <f t="shared" si="50"/>
        <v>300.2701142035753</v>
      </c>
      <c r="H138" s="145">
        <f>(C138/E138)-1</f>
        <v>0.21989035840495008</v>
      </c>
      <c r="I138" s="160"/>
      <c r="K138" s="20" t="s">
        <v>208</v>
      </c>
      <c r="L138" s="87">
        <f>23022.1406384609*((('2022 IR Data Book'!$A$5)))</f>
        <v>6268.6218587542608</v>
      </c>
      <c r="M138" s="144">
        <f>L138/$L$141</f>
        <v>4.6977705650811309E-2</v>
      </c>
      <c r="N138" s="87">
        <f>18705.2612598253*((('2022 IR Data Book'!$A$5)))</f>
        <v>5093.1931764486462</v>
      </c>
      <c r="O138" s="144">
        <f>N138/$N$141</f>
        <v>3.5017021514831541E-2</v>
      </c>
      <c r="P138" s="146">
        <f t="shared" si="51"/>
        <v>1175.4286823056145</v>
      </c>
      <c r="Q138" s="145">
        <f>(L138/N138)-1</f>
        <v>0.23078423330591424</v>
      </c>
    </row>
    <row r="139" spans="2:17" x14ac:dyDescent="0.2">
      <c r="B139" s="20" t="s">
        <v>209</v>
      </c>
      <c r="C139" s="87">
        <f>358.711752582892*((('2022 IR Data Book'!$A$5)))</f>
        <v>97.672426232884604</v>
      </c>
      <c r="D139" s="144">
        <f t="shared" si="48"/>
        <v>3.3258747830178909E-3</v>
      </c>
      <c r="E139" s="87">
        <f>104.692526704429*((('2022 IR Data Book'!$A$5)))</f>
        <v>28.506378779183411</v>
      </c>
      <c r="F139" s="144">
        <f t="shared" si="49"/>
        <v>6.4925010068733518E-4</v>
      </c>
      <c r="G139" s="146">
        <f t="shared" si="50"/>
        <v>69.166047453701196</v>
      </c>
      <c r="H139" s="145">
        <f>(C139/E139)-1</f>
        <v>2.4263358032767468</v>
      </c>
      <c r="I139" s="160"/>
      <c r="K139" s="20" t="s">
        <v>209</v>
      </c>
      <c r="L139" s="87">
        <f>1255.27961358978*((('2022 IR Data Book'!$A$5)))</f>
        <v>341.79589761743176</v>
      </c>
      <c r="M139" s="144">
        <f>L139/$L$141</f>
        <v>2.5614540855583611E-3</v>
      </c>
      <c r="N139" s="87">
        <f>553.274288824303*((('2022 IR Data Book'!$A$5)))</f>
        <v>150.64921004854952</v>
      </c>
      <c r="O139" s="144">
        <f>N139/$N$141</f>
        <v>1.0357523162199704E-3</v>
      </c>
      <c r="P139" s="146">
        <f t="shared" si="51"/>
        <v>191.14668756888224</v>
      </c>
      <c r="Q139" s="145">
        <f>(L139/N139)-1</f>
        <v>1.2688197137394988</v>
      </c>
    </row>
    <row r="140" spans="2:17" x14ac:dyDescent="0.2">
      <c r="C140" s="87"/>
      <c r="D140" s="144"/>
      <c r="E140" s="87"/>
      <c r="F140" s="144"/>
      <c r="G140" s="146"/>
      <c r="H140" s="145"/>
      <c r="I140" s="160"/>
      <c r="L140" s="87"/>
      <c r="M140" s="144"/>
      <c r="N140" s="87"/>
      <c r="O140" s="144"/>
      <c r="P140" s="146"/>
      <c r="Q140" s="145"/>
    </row>
    <row r="141" spans="2:17" x14ac:dyDescent="0.2">
      <c r="B141" s="71" t="s">
        <v>210</v>
      </c>
      <c r="C141" s="88">
        <f>SUM(C135:C139)</f>
        <v>29367.439427246529</v>
      </c>
      <c r="D141" s="144">
        <f>C141/$C$141</f>
        <v>1</v>
      </c>
      <c r="E141" s="88">
        <f>SUM(E135:E139)</f>
        <v>43906.622038263595</v>
      </c>
      <c r="F141" s="144">
        <f>E141/$E$141</f>
        <v>1</v>
      </c>
      <c r="G141" s="147">
        <f>C141-E141</f>
        <v>-14539.182611017066</v>
      </c>
      <c r="H141" s="148">
        <f>(C141/E141)-1</f>
        <v>-0.33113871976638298</v>
      </c>
      <c r="I141" s="239">
        <f>C141/$C$201</f>
        <v>7.029883860407099E-2</v>
      </c>
      <c r="K141" s="71" t="s">
        <v>210</v>
      </c>
      <c r="L141" s="88">
        <f>SUM(L135:L139)</f>
        <v>133438.22930283955</v>
      </c>
      <c r="M141" s="144">
        <f>L141/$L$141</f>
        <v>1</v>
      </c>
      <c r="N141" s="88">
        <f>SUM(N135:N139)</f>
        <v>145449.06894184055</v>
      </c>
      <c r="O141" s="144">
        <f>N141/$N$141</f>
        <v>1</v>
      </c>
      <c r="P141" s="147">
        <f>L141-N141</f>
        <v>-12010.839639001002</v>
      </c>
      <c r="Q141" s="148">
        <f>(L141/N141)-1</f>
        <v>-8.2577631650592953E-2</v>
      </c>
    </row>
    <row r="142" spans="2:17" x14ac:dyDescent="0.2">
      <c r="C142" s="87">
        <v>0</v>
      </c>
      <c r="D142" s="149"/>
      <c r="E142" s="87">
        <v>0</v>
      </c>
      <c r="F142" s="149"/>
      <c r="G142" s="186"/>
      <c r="H142" s="145"/>
      <c r="I142" s="239">
        <f>E141/$E$201</f>
        <v>0.10006019625806924</v>
      </c>
      <c r="L142" s="87">
        <v>0</v>
      </c>
      <c r="M142" s="149"/>
      <c r="N142" s="87">
        <v>0</v>
      </c>
      <c r="O142" s="149"/>
      <c r="P142" s="186"/>
      <c r="Q142" s="145"/>
    </row>
    <row r="143" spans="2:17" x14ac:dyDescent="0.2">
      <c r="B143" s="71" t="s">
        <v>33</v>
      </c>
      <c r="C143" s="88">
        <f>21443.2032973906*((('2022 IR Data Book'!$A$5)))</f>
        <v>5838.6982784377815</v>
      </c>
      <c r="D143" s="144">
        <f>C143/$C$141</f>
        <v>0.19881536805080638</v>
      </c>
      <c r="E143" s="88">
        <f>18135.7518507846*((('2022 IR Data Book'!$A$5)))</f>
        <v>4938.1233596864886</v>
      </c>
      <c r="F143" s="144">
        <f>E143/$E$141</f>
        <v>0.11246876052963103</v>
      </c>
      <c r="G143" s="147">
        <f>C143-E143</f>
        <v>900.5749187512929</v>
      </c>
      <c r="H143" s="148">
        <f>(C143/E143)-1</f>
        <v>0.18237189579007773</v>
      </c>
      <c r="I143" s="160"/>
      <c r="K143" s="71" t="s">
        <v>33</v>
      </c>
      <c r="L143" s="88">
        <f>79539.7037144859*((('2022 IR Data Book'!$A$5)))</f>
        <v>21657.600532180444</v>
      </c>
      <c r="M143" s="144">
        <f>L143/$L$141</f>
        <v>0.16230431597700745</v>
      </c>
      <c r="N143" s="88">
        <f>73242.8620837968*((('2022 IR Data Book'!$A$5)))</f>
        <v>19943.054534606763</v>
      </c>
      <c r="O143" s="144">
        <f>N143/$N$141</f>
        <v>0.1371136623953311</v>
      </c>
      <c r="P143" s="147">
        <f>L143-N143</f>
        <v>1714.5459975736812</v>
      </c>
      <c r="Q143" s="148">
        <f>(L143/N143)-1</f>
        <v>8.5972085900806405E-2</v>
      </c>
    </row>
    <row r="144" spans="2:17" x14ac:dyDescent="0.2">
      <c r="I144" s="160"/>
    </row>
    <row r="145" spans="2:17" x14ac:dyDescent="0.2">
      <c r="B145" s="71" t="s">
        <v>211</v>
      </c>
      <c r="C145" s="158" t="str">
        <f>$C$6</f>
        <v>Q4'22</v>
      </c>
      <c r="D145" s="141"/>
      <c r="E145" s="158" t="str">
        <f>$E$6</f>
        <v>Q4'21</v>
      </c>
      <c r="G145" s="185" t="s">
        <v>204</v>
      </c>
      <c r="H145" s="158" t="s">
        <v>29</v>
      </c>
      <c r="I145" s="160"/>
      <c r="K145" s="71" t="s">
        <v>211</v>
      </c>
      <c r="L145" s="158" t="str">
        <f>$L$6</f>
        <v>Dec YTD 2022</v>
      </c>
      <c r="M145" s="141"/>
      <c r="N145" s="158" t="str">
        <f>$N$6</f>
        <v>Dec YTD 2021</v>
      </c>
      <c r="P145" s="185" t="s">
        <v>204</v>
      </c>
      <c r="Q145" s="158" t="s">
        <v>29</v>
      </c>
    </row>
    <row r="146" spans="2:17" x14ac:dyDescent="0.2">
      <c r="B146" s="20" t="s">
        <v>206</v>
      </c>
      <c r="C146" s="83">
        <v>337657</v>
      </c>
      <c r="D146" s="83"/>
      <c r="E146" s="83">
        <v>357556</v>
      </c>
      <c r="F146" s="90"/>
      <c r="G146" s="146">
        <f t="shared" ref="G146:G148" si="52">C146-E146</f>
        <v>-19899</v>
      </c>
      <c r="H146" s="145">
        <f t="shared" ref="H146:H148" si="53">(C146/E146)-1</f>
        <v>-5.5652820816879056E-2</v>
      </c>
      <c r="I146" s="161"/>
      <c r="K146" s="20" t="s">
        <v>206</v>
      </c>
      <c r="L146" s="83">
        <v>1280952</v>
      </c>
      <c r="M146" s="83"/>
      <c r="N146" s="83">
        <v>1167834.13714019</v>
      </c>
      <c r="O146" s="90"/>
      <c r="P146" s="146">
        <f t="shared" ref="P146:P148" si="54">L146-N146</f>
        <v>113117.86285981</v>
      </c>
      <c r="Q146" s="145">
        <f t="shared" ref="Q146:Q148" si="55">(L146/N146)-1</f>
        <v>9.6861240190164954E-2</v>
      </c>
    </row>
    <row r="147" spans="2:17" x14ac:dyDescent="0.2">
      <c r="B147" s="71" t="s">
        <v>205</v>
      </c>
      <c r="C147" s="159">
        <v>736636</v>
      </c>
      <c r="D147" s="84"/>
      <c r="E147" s="159">
        <v>695260</v>
      </c>
      <c r="F147" s="150"/>
      <c r="G147" s="146">
        <f t="shared" si="52"/>
        <v>41376</v>
      </c>
      <c r="H147" s="145">
        <v>0.13060304479641593</v>
      </c>
      <c r="I147" s="160"/>
      <c r="K147" s="71" t="s">
        <v>205</v>
      </c>
      <c r="L147" s="159">
        <v>2933815</v>
      </c>
      <c r="M147" s="84"/>
      <c r="N147" s="159">
        <v>2756447.0000000019</v>
      </c>
      <c r="O147" s="150"/>
      <c r="P147" s="146">
        <f t="shared" si="54"/>
        <v>177367.99999999814</v>
      </c>
      <c r="Q147" s="145">
        <v>9.2529686198911776E-2</v>
      </c>
    </row>
    <row r="148" spans="2:17" x14ac:dyDescent="0.2">
      <c r="B148" s="152"/>
      <c r="C148" s="153">
        <f>C147+C146</f>
        <v>1074293</v>
      </c>
      <c r="D148" s="152"/>
      <c r="E148" s="153">
        <f>E147+E146</f>
        <v>1052816</v>
      </c>
      <c r="F148" s="152"/>
      <c r="G148" s="146">
        <f t="shared" si="52"/>
        <v>21477</v>
      </c>
      <c r="H148" s="145">
        <f t="shared" si="53"/>
        <v>2.0399575994285879E-2</v>
      </c>
      <c r="I148" s="162"/>
      <c r="K148" s="152"/>
      <c r="L148" s="153">
        <f>L147+L146</f>
        <v>4214767</v>
      </c>
      <c r="M148" s="152"/>
      <c r="N148" s="153">
        <f>N147+N146</f>
        <v>3924281.1371401921</v>
      </c>
      <c r="O148" s="152"/>
      <c r="P148" s="146">
        <f t="shared" si="54"/>
        <v>290485.86285980791</v>
      </c>
      <c r="Q148" s="145">
        <f t="shared" si="55"/>
        <v>7.4022694274013867E-2</v>
      </c>
    </row>
    <row r="149" spans="2:17" x14ac:dyDescent="0.2">
      <c r="I149" s="160"/>
    </row>
    <row r="150" spans="2:17" x14ac:dyDescent="0.2">
      <c r="B150" s="71" t="s">
        <v>196</v>
      </c>
      <c r="I150" s="160"/>
      <c r="K150" s="71" t="s">
        <v>196</v>
      </c>
    </row>
    <row r="151" spans="2:17" x14ac:dyDescent="0.2">
      <c r="B151" s="58"/>
      <c r="I151" s="160"/>
      <c r="K151" s="58"/>
    </row>
    <row r="152" spans="2:17" x14ac:dyDescent="0.2">
      <c r="B152" s="50"/>
      <c r="I152" s="160"/>
      <c r="K152" s="50"/>
    </row>
    <row r="153" spans="2:17" x14ac:dyDescent="0.2">
      <c r="C153" s="158" t="s">
        <v>203</v>
      </c>
      <c r="D153" s="141"/>
      <c r="E153" s="158" t="s">
        <v>203</v>
      </c>
      <c r="I153" s="160"/>
      <c r="L153" s="158" t="s">
        <v>203</v>
      </c>
      <c r="M153" s="141"/>
      <c r="N153" s="158" t="s">
        <v>203</v>
      </c>
    </row>
    <row r="154" spans="2:17" x14ac:dyDescent="0.2">
      <c r="B154" s="142"/>
      <c r="C154" s="158" t="str">
        <f>$C$6</f>
        <v>Q4'22</v>
      </c>
      <c r="D154" s="141"/>
      <c r="E154" s="158" t="str">
        <f>$E$6</f>
        <v>Q4'21</v>
      </c>
      <c r="G154" s="185" t="s">
        <v>204</v>
      </c>
      <c r="H154" s="158" t="s">
        <v>29</v>
      </c>
      <c r="I154" s="160"/>
      <c r="K154" s="142"/>
      <c r="L154" s="158" t="str">
        <f>$L$6</f>
        <v>Dec YTD 2022</v>
      </c>
      <c r="M154" s="141"/>
      <c r="N154" s="158" t="str">
        <f>$N$6</f>
        <v>Dec YTD 2021</v>
      </c>
      <c r="P154" s="185" t="s">
        <v>204</v>
      </c>
      <c r="Q154" s="158" t="s">
        <v>29</v>
      </c>
    </row>
    <row r="155" spans="2:17" x14ac:dyDescent="0.2">
      <c r="H155" s="143"/>
      <c r="I155" s="160"/>
      <c r="Q155" s="143"/>
    </row>
    <row r="156" spans="2:17" x14ac:dyDescent="0.2">
      <c r="B156" s="20" t="s">
        <v>205</v>
      </c>
      <c r="C156" s="87">
        <f>2492.92982438971*((('2022 IR Data Book'!$A$5)))</f>
        <v>678.79154397149432</v>
      </c>
      <c r="D156" s="144">
        <f>C156/$C$162</f>
        <v>1.816306488251394E-2</v>
      </c>
      <c r="E156" s="87">
        <f>3238.12327025939*((('2022 IR Data Book'!$A$5)))</f>
        <v>881.69778093432171</v>
      </c>
      <c r="F156" s="144">
        <f>E156/$E$162</f>
        <v>1.7388291550201263E-2</v>
      </c>
      <c r="G156" s="146">
        <f>C156-E156</f>
        <v>-202.90623696282739</v>
      </c>
      <c r="H156" s="145">
        <f>(C156/E156)-1</f>
        <v>-0.23013127780338827</v>
      </c>
      <c r="I156" s="160"/>
      <c r="K156" s="20" t="s">
        <v>205</v>
      </c>
      <c r="L156" s="87">
        <f>9770.00704875277*((('2022 IR Data Book'!$A$5)))</f>
        <v>2660.2426206918176</v>
      </c>
      <c r="M156" s="144">
        <f>L156/$L$162</f>
        <v>1.8357383293214961E-2</v>
      </c>
      <c r="N156" s="87">
        <f>11583.9801535532*((('2022 IR Data Book'!$A$5)))</f>
        <v>3154.1633048938625</v>
      </c>
      <c r="O156" s="144">
        <f>N156/$N$162</f>
        <v>1.8300211928136845E-2</v>
      </c>
      <c r="P156" s="146">
        <f>L156-N156</f>
        <v>-493.92068420204487</v>
      </c>
      <c r="Q156" s="145">
        <f>(L156/N156)-1</f>
        <v>-0.15659325039882976</v>
      </c>
    </row>
    <row r="157" spans="2:17" x14ac:dyDescent="0.2">
      <c r="B157" s="20" t="s">
        <v>206</v>
      </c>
      <c r="C157" s="87">
        <f>131327.821101501*((('2022 IR Data Book'!$A$5)))</f>
        <v>35758.814219218264</v>
      </c>
      <c r="D157" s="144">
        <f t="shared" ref="D157:D160" si="56">C157/$C$162</f>
        <v>0.95683228312681878</v>
      </c>
      <c r="E157" s="87">
        <f>181535.512963189*((('2022 IR Data Book'!$A$5)))</f>
        <v>49429.699113213792</v>
      </c>
      <c r="F157" s="144">
        <f t="shared" ref="F157:F164" si="57">E157/$E$162</f>
        <v>0.97482157492614907</v>
      </c>
      <c r="G157" s="146">
        <f t="shared" ref="G157:G160" si="58">C157-E157</f>
        <v>-13670.884893995528</v>
      </c>
      <c r="H157" s="145">
        <f>(C157/E157)-1</f>
        <v>-0.276572286282458</v>
      </c>
      <c r="I157" s="160"/>
      <c r="K157" s="20" t="s">
        <v>206</v>
      </c>
      <c r="L157" s="87">
        <f>510370.377089041*((('2022 IR Data Book'!$A$5)))</f>
        <v>138967.04707538011</v>
      </c>
      <c r="M157" s="144">
        <f>L157/$L$162</f>
        <v>0.95896191138595199</v>
      </c>
      <c r="N157" s="87">
        <f>615551.129090216*((('2022 IR Data Book'!$A$5)))</f>
        <v>167606.36309160158</v>
      </c>
      <c r="O157" s="144">
        <f>N157/$N$162</f>
        <v>0.97243917596833973</v>
      </c>
      <c r="P157" s="146">
        <f t="shared" ref="P157:P160" si="59">L157-N157</f>
        <v>-28639.316016221477</v>
      </c>
      <c r="Q157" s="145">
        <f>(L157/N157)-1</f>
        <v>-0.17087248650917441</v>
      </c>
    </row>
    <row r="158" spans="2:17" x14ac:dyDescent="0.2">
      <c r="B158" s="20" t="s">
        <v>207</v>
      </c>
      <c r="C158" s="87">
        <f>2001.79727852028*((('2022 IR Data Book'!$A$5)))</f>
        <v>545.06270176993951</v>
      </c>
      <c r="D158" s="144">
        <f t="shared" si="56"/>
        <v>1.4584756255746028E-2</v>
      </c>
      <c r="E158" s="87">
        <f>0*((('2022 IR Data Book'!$A$5)))</f>
        <v>0</v>
      </c>
      <c r="F158" s="144">
        <f t="shared" si="57"/>
        <v>0</v>
      </c>
      <c r="G158" s="81">
        <f t="shared" si="58"/>
        <v>545.06270176993951</v>
      </c>
      <c r="H158" s="82" t="e">
        <f>(C158/E158)-1</f>
        <v>#DIV/0!</v>
      </c>
      <c r="I158" s="160"/>
      <c r="K158" s="20" t="s">
        <v>207</v>
      </c>
      <c r="L158" s="87">
        <f>6204.9832108312*((('2022 IR Data Book'!$A$5)))</f>
        <v>1689.5341749254478</v>
      </c>
      <c r="M158" s="144">
        <f>L158/$L$162</f>
        <v>1.165887133558755E-2</v>
      </c>
      <c r="N158" s="87">
        <f>0*((('2022 IR Data Book'!$A$5)))</f>
        <v>0</v>
      </c>
      <c r="O158" s="144">
        <f>N158/$N$162</f>
        <v>0</v>
      </c>
      <c r="P158" s="81">
        <f t="shared" si="59"/>
        <v>1689.5341749254478</v>
      </c>
      <c r="Q158" s="82" t="e">
        <f>(L158/N158)-1</f>
        <v>#DIV/0!</v>
      </c>
    </row>
    <row r="159" spans="2:17" x14ac:dyDescent="0.2">
      <c r="B159" s="20" t="s">
        <v>208</v>
      </c>
      <c r="C159" s="87">
        <f>113.594006543863*((('2022 IR Data Book'!$A$5)))</f>
        <v>30.930133023978378</v>
      </c>
      <c r="D159" s="144">
        <f t="shared" si="56"/>
        <v>8.2762671092275484E-4</v>
      </c>
      <c r="E159" s="87">
        <f>0*((('2022 IR Data Book'!$A$5)))</f>
        <v>0</v>
      </c>
      <c r="F159" s="144">
        <f t="shared" si="57"/>
        <v>0</v>
      </c>
      <c r="G159" s="146">
        <f t="shared" si="58"/>
        <v>30.930133023978378</v>
      </c>
      <c r="H159" s="145" t="e">
        <f>(C159/E159)-1</f>
        <v>#DIV/0!</v>
      </c>
      <c r="I159" s="160"/>
      <c r="K159" s="20" t="s">
        <v>208</v>
      </c>
      <c r="L159" s="87">
        <f>326.004836101518*((('2022 IR Data Book'!$A$5)))</f>
        <v>88.766769074094086</v>
      </c>
      <c r="M159" s="144">
        <f>L159/$L$162</f>
        <v>6.1254773941245776E-4</v>
      </c>
      <c r="N159" s="87">
        <f>0*((('2022 IR Data Book'!$A$5)))</f>
        <v>0</v>
      </c>
      <c r="O159" s="144">
        <f>N159/$N$162</f>
        <v>0</v>
      </c>
      <c r="P159" s="146">
        <f t="shared" si="59"/>
        <v>88.766769074094086</v>
      </c>
      <c r="Q159" s="145" t="e">
        <f>(L159/N159)-1</f>
        <v>#DIV/0!</v>
      </c>
    </row>
    <row r="160" spans="2:17" x14ac:dyDescent="0.2">
      <c r="B160" s="20" t="s">
        <v>209</v>
      </c>
      <c r="C160" s="87">
        <f>1316.56489079204*((('2022 IR Data Book'!$A$5)))</f>
        <v>358.48306126233183</v>
      </c>
      <c r="D160" s="144">
        <f t="shared" si="56"/>
        <v>9.5922690239986057E-3</v>
      </c>
      <c r="E160" s="87">
        <f>1450.71254231791*((('2022 IR Data Book'!$A$5)))</f>
        <v>395.00967769915314</v>
      </c>
      <c r="F160" s="144">
        <f t="shared" si="57"/>
        <v>7.7901335236495867E-3</v>
      </c>
      <c r="G160" s="146">
        <f t="shared" si="58"/>
        <v>-36.526616436821314</v>
      </c>
      <c r="H160" s="145">
        <f>(C160/E160)-1</f>
        <v>-9.2470181109437721E-2</v>
      </c>
      <c r="I160" s="160"/>
      <c r="K160" s="20" t="s">
        <v>209</v>
      </c>
      <c r="L160" s="87">
        <f>5539.93989066306*((('2022 IR Data Book'!$A$5)))</f>
        <v>1508.4517482609215</v>
      </c>
      <c r="M160" s="144">
        <f>L160/$L$162</f>
        <v>1.040928624583295E-2</v>
      </c>
      <c r="N160" s="87">
        <f>5861.94013699016*((('2022 IR Data Book'!$A$5)))</f>
        <v>1596.1281209470565</v>
      </c>
      <c r="O160" s="144">
        <f>N160/$N$162</f>
        <v>9.2606121035235592E-3</v>
      </c>
      <c r="P160" s="146">
        <f t="shared" si="59"/>
        <v>-87.676372686134982</v>
      </c>
      <c r="Q160" s="145">
        <f>(L160/N160)-1</f>
        <v>-5.4930660976082901E-2</v>
      </c>
    </row>
    <row r="161" spans="2:17" x14ac:dyDescent="0.2">
      <c r="C161" s="87"/>
      <c r="D161" s="144"/>
      <c r="E161" s="87"/>
      <c r="F161" s="144"/>
      <c r="G161" s="146"/>
      <c r="H161" s="145"/>
      <c r="I161" s="160"/>
      <c r="L161" s="87"/>
      <c r="M161" s="144"/>
      <c r="N161" s="87"/>
      <c r="O161" s="144"/>
      <c r="P161" s="146"/>
      <c r="Q161" s="145"/>
    </row>
    <row r="162" spans="2:17" x14ac:dyDescent="0.2">
      <c r="B162" s="71" t="s">
        <v>210</v>
      </c>
      <c r="C162" s="88">
        <f>SUM(C156:C160)</f>
        <v>37372.081659246003</v>
      </c>
      <c r="D162" s="144">
        <f>C162/$C$162</f>
        <v>1</v>
      </c>
      <c r="E162" s="88">
        <f>SUM(E156:E160)</f>
        <v>50706.40657184727</v>
      </c>
      <c r="F162" s="144">
        <f t="shared" si="57"/>
        <v>1</v>
      </c>
      <c r="G162" s="147">
        <f>C162-E162</f>
        <v>-13334.324912601267</v>
      </c>
      <c r="H162" s="148">
        <f>(C162/E162)-1</f>
        <v>-0.26297120648270556</v>
      </c>
      <c r="I162" s="239">
        <f>C162/$C$201</f>
        <v>8.9460095537781864E-2</v>
      </c>
      <c r="K162" s="71" t="s">
        <v>210</v>
      </c>
      <c r="L162" s="88">
        <f>SUM(L156:L160)</f>
        <v>144914.0423883324</v>
      </c>
      <c r="M162" s="144">
        <f>L162/$L$162</f>
        <v>1</v>
      </c>
      <c r="N162" s="88">
        <f>SUM(N156:N160)</f>
        <v>172356.65451744248</v>
      </c>
      <c r="O162" s="144">
        <f>N162/$N$162</f>
        <v>1</v>
      </c>
      <c r="P162" s="147">
        <f>L162-N162</f>
        <v>-27442.612129110086</v>
      </c>
      <c r="Q162" s="148">
        <f>(L162/N162)-1</f>
        <v>-0.15921991643399469</v>
      </c>
    </row>
    <row r="163" spans="2:17" x14ac:dyDescent="0.2">
      <c r="C163" s="87">
        <v>0</v>
      </c>
      <c r="D163" s="149"/>
      <c r="E163" s="87">
        <v>0</v>
      </c>
      <c r="F163" s="149"/>
      <c r="G163" s="186"/>
      <c r="H163" s="145"/>
      <c r="I163" s="239">
        <f>E162/$E$201</f>
        <v>0.11555644131991945</v>
      </c>
      <c r="L163" s="87">
        <v>0</v>
      </c>
      <c r="M163" s="149"/>
      <c r="N163" s="87">
        <v>0</v>
      </c>
      <c r="O163" s="149"/>
      <c r="P163" s="186"/>
      <c r="Q163" s="145"/>
    </row>
    <row r="164" spans="2:17" x14ac:dyDescent="0.2">
      <c r="B164" s="71" t="s">
        <v>33</v>
      </c>
      <c r="C164" s="88">
        <f>31835.376722706*((('2022 IR Data Book'!$A$5)))</f>
        <v>8668.3485058830265</v>
      </c>
      <c r="D164" s="144">
        <f>C164/$C$162</f>
        <v>0.23194716807374957</v>
      </c>
      <c r="E164" s="88">
        <f>34544.8593184943*((('2022 IR Data Book'!$A$5)))</f>
        <v>9406.1044814284978</v>
      </c>
      <c r="F164" s="144">
        <f t="shared" si="57"/>
        <v>0.18550130284031735</v>
      </c>
      <c r="G164" s="147">
        <f>C164-E164</f>
        <v>-737.7559755454713</v>
      </c>
      <c r="H164" s="148">
        <f>(C164/E164)-1</f>
        <v>-7.8433742364025782E-2</v>
      </c>
      <c r="I164" s="160"/>
      <c r="K164" s="71" t="s">
        <v>33</v>
      </c>
      <c r="L164" s="88">
        <f>125768.522992081*((('2022 IR Data Book'!$A$5)))</f>
        <v>34245.091486162659</v>
      </c>
      <c r="M164" s="144">
        <f>L164/$L$162</f>
        <v>0.23631313378447213</v>
      </c>
      <c r="N164" s="88">
        <f>155473.107987431*((('2022 IR Data Book'!$A$5)))</f>
        <v>42333.253822205246</v>
      </c>
      <c r="O164" s="144">
        <f>N164/$N$162</f>
        <v>0.24561426967080707</v>
      </c>
      <c r="P164" s="147">
        <f>L164-N164</f>
        <v>-8088.1623360425874</v>
      </c>
      <c r="Q164" s="148">
        <f>(L164/N164)-1</f>
        <v>-0.19105931167048795</v>
      </c>
    </row>
    <row r="165" spans="2:17" x14ac:dyDescent="0.2">
      <c r="I165" s="160"/>
    </row>
    <row r="166" spans="2:17" x14ac:dyDescent="0.2">
      <c r="B166" s="71" t="s">
        <v>211</v>
      </c>
      <c r="C166" s="158" t="str">
        <f>$C$6</f>
        <v>Q4'22</v>
      </c>
      <c r="D166" s="141"/>
      <c r="E166" s="158" t="str">
        <f>$E$6</f>
        <v>Q4'21</v>
      </c>
      <c r="G166" s="185" t="s">
        <v>204</v>
      </c>
      <c r="H166" s="158" t="s">
        <v>29</v>
      </c>
      <c r="I166" s="160"/>
      <c r="K166" s="71" t="s">
        <v>211</v>
      </c>
      <c r="L166" s="158" t="str">
        <f>$L$6</f>
        <v>Dec YTD 2022</v>
      </c>
      <c r="M166" s="141"/>
      <c r="N166" s="158" t="str">
        <f>$N$6</f>
        <v>Dec YTD 2021</v>
      </c>
      <c r="P166" s="185" t="s">
        <v>204</v>
      </c>
      <c r="Q166" s="158" t="s">
        <v>29</v>
      </c>
    </row>
    <row r="167" spans="2:17" x14ac:dyDescent="0.2">
      <c r="B167" s="20" t="s">
        <v>206</v>
      </c>
      <c r="C167" s="83">
        <v>11840948</v>
      </c>
      <c r="D167" s="83"/>
      <c r="E167" s="83">
        <v>13804055</v>
      </c>
      <c r="F167" s="90"/>
      <c r="G167" s="146">
        <f t="shared" ref="G167:G169" si="60">C167-E167</f>
        <v>-1963107</v>
      </c>
      <c r="H167" s="145">
        <f t="shared" ref="H167:H169" si="61">(C167/E167)-1</f>
        <v>-0.14221234267756833</v>
      </c>
      <c r="I167" s="161"/>
      <c r="K167" s="20" t="s">
        <v>206</v>
      </c>
      <c r="L167" s="83">
        <v>42973932</v>
      </c>
      <c r="M167" s="83"/>
      <c r="N167" s="83">
        <v>51514879.745351404</v>
      </c>
      <c r="O167" s="90"/>
      <c r="P167" s="146">
        <f t="shared" ref="P167:P169" si="62">L167-N167</f>
        <v>-8540947.745351404</v>
      </c>
      <c r="Q167" s="145">
        <f t="shared" ref="Q167:Q169" si="63">(L167/N167)-1</f>
        <v>-0.16579574265864649</v>
      </c>
    </row>
    <row r="168" spans="2:17" x14ac:dyDescent="0.2">
      <c r="B168" s="71" t="s">
        <v>205</v>
      </c>
      <c r="C168" s="159">
        <v>6666</v>
      </c>
      <c r="D168" s="84"/>
      <c r="E168" s="159">
        <v>5933</v>
      </c>
      <c r="F168" s="150"/>
      <c r="G168" s="146">
        <f t="shared" si="60"/>
        <v>733</v>
      </c>
      <c r="H168" s="145">
        <v>8.8418932527693839E-2</v>
      </c>
      <c r="I168" s="160"/>
      <c r="K168" s="71" t="s">
        <v>205</v>
      </c>
      <c r="L168" s="159">
        <v>23979</v>
      </c>
      <c r="M168" s="84"/>
      <c r="N168" s="159">
        <v>20427</v>
      </c>
      <c r="O168" s="150"/>
      <c r="P168" s="146">
        <f t="shared" si="62"/>
        <v>3552</v>
      </c>
      <c r="Q168" s="145">
        <v>5.972515856236793E-2</v>
      </c>
    </row>
    <row r="169" spans="2:17" x14ac:dyDescent="0.2">
      <c r="B169" s="152"/>
      <c r="C169" s="153">
        <f>C168+C167</f>
        <v>11847614</v>
      </c>
      <c r="D169" s="152"/>
      <c r="E169" s="153">
        <f>E168+E167</f>
        <v>13809988</v>
      </c>
      <c r="F169" s="152"/>
      <c r="G169" s="146">
        <f t="shared" si="60"/>
        <v>-1962374</v>
      </c>
      <c r="H169" s="145">
        <f t="shared" si="61"/>
        <v>-0.14209816836915423</v>
      </c>
      <c r="I169" s="162"/>
      <c r="K169" s="152"/>
      <c r="L169" s="153">
        <f>L168+L167</f>
        <v>42997911</v>
      </c>
      <c r="M169" s="152"/>
      <c r="N169" s="153">
        <f>N168+N167</f>
        <v>51535306.745351404</v>
      </c>
      <c r="O169" s="152"/>
      <c r="P169" s="146">
        <f t="shared" si="62"/>
        <v>-8537395.745351404</v>
      </c>
      <c r="Q169" s="145">
        <f t="shared" si="63"/>
        <v>-0.16566110273752266</v>
      </c>
    </row>
    <row r="170" spans="2:17" x14ac:dyDescent="0.2">
      <c r="I170" s="160"/>
    </row>
    <row r="171" spans="2:17" x14ac:dyDescent="0.2">
      <c r="B171" s="71" t="s">
        <v>197</v>
      </c>
      <c r="I171" s="160"/>
      <c r="K171" s="71" t="s">
        <v>197</v>
      </c>
      <c r="L171" s="93"/>
      <c r="M171" s="93"/>
      <c r="N171" s="93"/>
      <c r="O171" s="139"/>
    </row>
    <row r="172" spans="2:17" x14ac:dyDescent="0.2">
      <c r="B172" s="58"/>
      <c r="I172" s="160"/>
      <c r="K172" s="58"/>
    </row>
    <row r="173" spans="2:17" x14ac:dyDescent="0.2">
      <c r="B173" s="50"/>
      <c r="I173" s="160"/>
      <c r="K173" s="50"/>
    </row>
    <row r="174" spans="2:17" x14ac:dyDescent="0.2">
      <c r="C174" s="158" t="s">
        <v>203</v>
      </c>
      <c r="D174" s="141"/>
      <c r="E174" s="158" t="s">
        <v>203</v>
      </c>
      <c r="I174" s="160"/>
      <c r="L174" s="158" t="s">
        <v>203</v>
      </c>
      <c r="M174" s="141"/>
      <c r="N174" s="158" t="s">
        <v>203</v>
      </c>
    </row>
    <row r="175" spans="2:17" x14ac:dyDescent="0.2">
      <c r="B175" s="142"/>
      <c r="C175" s="158" t="str">
        <f>$C$6</f>
        <v>Q4'22</v>
      </c>
      <c r="D175" s="141"/>
      <c r="E175" s="158" t="str">
        <f>$E$6</f>
        <v>Q4'21</v>
      </c>
      <c r="G175" s="185" t="s">
        <v>204</v>
      </c>
      <c r="H175" s="158" t="s">
        <v>29</v>
      </c>
      <c r="I175" s="160"/>
      <c r="K175" s="142"/>
      <c r="L175" s="158" t="str">
        <f>$L$6</f>
        <v>Dec YTD 2022</v>
      </c>
      <c r="M175" s="141"/>
      <c r="N175" s="158" t="str">
        <f>$N$6</f>
        <v>Dec YTD 2021</v>
      </c>
      <c r="P175" s="185" t="s">
        <v>204</v>
      </c>
      <c r="Q175" s="158" t="s">
        <v>29</v>
      </c>
    </row>
    <row r="176" spans="2:17" x14ac:dyDescent="0.2">
      <c r="H176" s="143"/>
      <c r="I176" s="160"/>
      <c r="Q176" s="143"/>
    </row>
    <row r="177" spans="2:17" x14ac:dyDescent="0.2">
      <c r="B177" s="20" t="s">
        <v>205</v>
      </c>
      <c r="C177" s="87">
        <f>7090.08540449259*((('2022 IR Data Book'!$A$5)))</f>
        <v>1930.5356980048439</v>
      </c>
      <c r="D177" s="144">
        <f>C177/$C$183</f>
        <v>0.94217380845590637</v>
      </c>
      <c r="E177" s="87">
        <f>7738.88941393178*((('2022 IR Data Book'!$A$5)))</f>
        <v>2107.1963769350814</v>
      </c>
      <c r="F177" s="144">
        <f>E177/$E$183</f>
        <v>0.97827815781504512</v>
      </c>
      <c r="G177" s="146">
        <f>C177-E177</f>
        <v>-176.66067893023751</v>
      </c>
      <c r="H177" s="145">
        <f>(C177/E177)-1</f>
        <v>-8.3836836881425625E-2</v>
      </c>
      <c r="I177" s="160"/>
      <c r="K177" s="20" t="s">
        <v>205</v>
      </c>
      <c r="L177" s="87">
        <f>27378.930758345*((('2022 IR Data Book'!$A$5)))</f>
        <v>7454.917703628219</v>
      </c>
      <c r="M177" s="144">
        <f>L177/$L$183</f>
        <v>0.94554553188967638</v>
      </c>
      <c r="N177" s="87">
        <f>32840.1908540296*((('2022 IR Data Book'!$A$5)))</f>
        <v>8941.9459930375197</v>
      </c>
      <c r="O177" s="144">
        <f>N177/$N$183</f>
        <v>0.97905453672444065</v>
      </c>
      <c r="P177" s="146">
        <f>L177-N177</f>
        <v>-1487.0282894093007</v>
      </c>
      <c r="Q177" s="145">
        <f>(L177/N177)-1</f>
        <v>-0.16629806202890818</v>
      </c>
    </row>
    <row r="178" spans="2:17" x14ac:dyDescent="0.2">
      <c r="B178" s="20" t="s">
        <v>206</v>
      </c>
      <c r="C178" s="87">
        <f>0*((('2022 IR Data Book'!$A$5)))</f>
        <v>0</v>
      </c>
      <c r="D178" s="144">
        <f t="shared" ref="D178:D181" si="64">C178/$C$183</f>
        <v>0</v>
      </c>
      <c r="E178" s="87">
        <f>0*((('2022 IR Data Book'!$A$5)))</f>
        <v>0</v>
      </c>
      <c r="F178" s="144">
        <f t="shared" ref="F178:F181" si="65">E178/$E$183</f>
        <v>0</v>
      </c>
      <c r="G178" s="146">
        <f t="shared" ref="G178:G181" si="66">C178-E178</f>
        <v>0</v>
      </c>
      <c r="H178" s="145" t="e">
        <f>(C178/E178)-1</f>
        <v>#DIV/0!</v>
      </c>
      <c r="I178" s="160"/>
      <c r="K178" s="20" t="s">
        <v>206</v>
      </c>
      <c r="L178" s="87">
        <f>0*((('2022 IR Data Book'!$A$5)))</f>
        <v>0</v>
      </c>
      <c r="M178" s="144">
        <f>L178/$L$183</f>
        <v>0</v>
      </c>
      <c r="N178" s="87">
        <f>0*((('2022 IR Data Book'!$A$5)))</f>
        <v>0</v>
      </c>
      <c r="O178" s="144">
        <f>N178/$N$183</f>
        <v>0</v>
      </c>
      <c r="P178" s="146">
        <f t="shared" ref="P178:P181" si="67">L178-N178</f>
        <v>0</v>
      </c>
      <c r="Q178" s="145" t="e">
        <f>(L178/N178)-1</f>
        <v>#DIV/0!</v>
      </c>
    </row>
    <row r="179" spans="2:17" x14ac:dyDescent="0.2">
      <c r="B179" s="20" t="s">
        <v>207</v>
      </c>
      <c r="C179" s="87">
        <f>0*((('2022 IR Data Book'!$A$5)))</f>
        <v>0</v>
      </c>
      <c r="D179" s="144">
        <f t="shared" si="64"/>
        <v>0</v>
      </c>
      <c r="E179" s="87">
        <f>0*((('2022 IR Data Book'!$A$5)))</f>
        <v>0</v>
      </c>
      <c r="F179" s="144">
        <f t="shared" si="65"/>
        <v>0</v>
      </c>
      <c r="G179" s="81">
        <f t="shared" si="66"/>
        <v>0</v>
      </c>
      <c r="H179" s="82" t="e">
        <f>(C179/E179)-1</f>
        <v>#DIV/0!</v>
      </c>
      <c r="I179" s="160"/>
      <c r="K179" s="20" t="s">
        <v>207</v>
      </c>
      <c r="L179" s="87">
        <f>0*((('2022 IR Data Book'!$A$5)))</f>
        <v>0</v>
      </c>
      <c r="M179" s="144">
        <f>L179/$L$183</f>
        <v>0</v>
      </c>
      <c r="N179" s="87">
        <f>0*((('2022 IR Data Book'!$A$5)))</f>
        <v>0</v>
      </c>
      <c r="O179" s="144">
        <f>N179/$N$183</f>
        <v>0</v>
      </c>
      <c r="P179" s="81">
        <f t="shared" si="67"/>
        <v>0</v>
      </c>
      <c r="Q179" s="82" t="e">
        <f>(L179/N179)-1</f>
        <v>#DIV/0!</v>
      </c>
    </row>
    <row r="180" spans="2:17" x14ac:dyDescent="0.2">
      <c r="B180" s="20" t="s">
        <v>208</v>
      </c>
      <c r="C180" s="87">
        <f>0*((('2022 IR Data Book'!$A$5)))</f>
        <v>0</v>
      </c>
      <c r="D180" s="144">
        <f t="shared" si="64"/>
        <v>0</v>
      </c>
      <c r="E180" s="87">
        <f>0*((('2022 IR Data Book'!$A$5)))</f>
        <v>0</v>
      </c>
      <c r="F180" s="144">
        <f t="shared" si="65"/>
        <v>0</v>
      </c>
      <c r="G180" s="146">
        <f t="shared" si="66"/>
        <v>0</v>
      </c>
      <c r="H180" s="145" t="e">
        <f>(C180/E180)-1</f>
        <v>#DIV/0!</v>
      </c>
      <c r="I180" s="160"/>
      <c r="K180" s="20" t="s">
        <v>208</v>
      </c>
      <c r="L180" s="87">
        <f>0*((('2022 IR Data Book'!$A$5)))</f>
        <v>0</v>
      </c>
      <c r="M180" s="144">
        <f>L180/$L$183</f>
        <v>0</v>
      </c>
      <c r="N180" s="87">
        <f>0*((('2022 IR Data Book'!$A$5)))</f>
        <v>0</v>
      </c>
      <c r="O180" s="144">
        <f>N180/$N$183</f>
        <v>0</v>
      </c>
      <c r="P180" s="146">
        <f t="shared" si="67"/>
        <v>0</v>
      </c>
      <c r="Q180" s="145" t="e">
        <f>(L180/N180)-1</f>
        <v>#DIV/0!</v>
      </c>
    </row>
    <row r="181" spans="2:17" x14ac:dyDescent="0.2">
      <c r="B181" s="20" t="s">
        <v>209</v>
      </c>
      <c r="C181" s="87">
        <f>435.156053994*((('2022 IR Data Book'!$A$5)))</f>
        <v>118.48718999999998</v>
      </c>
      <c r="D181" s="144">
        <f t="shared" si="64"/>
        <v>5.7826191544093616E-2</v>
      </c>
      <c r="E181" s="87">
        <f>171.835518552*((('2022 IR Data Book'!$A$5)))</f>
        <v>46.788519999999998</v>
      </c>
      <c r="F181" s="144">
        <f t="shared" si="65"/>
        <v>2.1721842184954814E-2</v>
      </c>
      <c r="G181" s="146">
        <f t="shared" si="66"/>
        <v>71.698669999999993</v>
      </c>
      <c r="H181" s="145">
        <f>(C181/E181)-1</f>
        <v>1.5323987593537898</v>
      </c>
      <c r="I181" s="160"/>
      <c r="K181" s="20" t="s">
        <v>209</v>
      </c>
      <c r="L181" s="87">
        <f>1576.767127116*((('2022 IR Data Book'!$A$5)))</f>
        <v>429.33265999999998</v>
      </c>
      <c r="M181" s="144">
        <f>L181/$L$183</f>
        <v>5.4454468110323583E-2</v>
      </c>
      <c r="N181" s="87">
        <f>702.568637082*((('2022 IR Data Book'!$A$5)))</f>
        <v>191.30007000000001</v>
      </c>
      <c r="O181" s="144">
        <f>N181/$N$183</f>
        <v>2.094546327555942E-2</v>
      </c>
      <c r="P181" s="146">
        <f t="shared" si="67"/>
        <v>238.03258999999997</v>
      </c>
      <c r="Q181" s="145">
        <f>(L181/N181)-1</f>
        <v>1.2442890899098988</v>
      </c>
    </row>
    <row r="182" spans="2:17" x14ac:dyDescent="0.2">
      <c r="C182" s="87"/>
      <c r="D182" s="144"/>
      <c r="E182" s="87"/>
      <c r="F182" s="144"/>
      <c r="G182" s="146"/>
      <c r="H182" s="145"/>
      <c r="I182" s="160"/>
      <c r="L182" s="87"/>
      <c r="M182" s="144"/>
      <c r="N182" s="87"/>
      <c r="O182" s="144"/>
      <c r="P182" s="146"/>
      <c r="Q182" s="145"/>
    </row>
    <row r="183" spans="2:17" x14ac:dyDescent="0.2">
      <c r="B183" s="71" t="s">
        <v>210</v>
      </c>
      <c r="C183" s="88">
        <f>SUM(C177:C181)</f>
        <v>2049.0228880048439</v>
      </c>
      <c r="D183" s="144">
        <f>C183/$C$183</f>
        <v>1</v>
      </c>
      <c r="E183" s="88">
        <f>SUM(E177:E181)</f>
        <v>2153.9848969350815</v>
      </c>
      <c r="F183" s="144">
        <f>E183/$E$183</f>
        <v>1</v>
      </c>
      <c r="G183" s="147">
        <f>C183-E183</f>
        <v>-104.96200893023752</v>
      </c>
      <c r="H183" s="148">
        <f>(C183/E183)-1</f>
        <v>-4.872922232629795E-2</v>
      </c>
      <c r="I183" s="160"/>
      <c r="K183" s="71" t="s">
        <v>210</v>
      </c>
      <c r="L183" s="88">
        <f>SUM(L177:L181)</f>
        <v>7884.250363628219</v>
      </c>
      <c r="M183" s="144">
        <f>L183/$L$183</f>
        <v>1</v>
      </c>
      <c r="N183" s="88">
        <f>SUM(N177:N181)</f>
        <v>9133.246063037519</v>
      </c>
      <c r="O183" s="144">
        <f>N183/$N$183</f>
        <v>1</v>
      </c>
      <c r="P183" s="147">
        <f>L183-N183</f>
        <v>-1248.9956994093</v>
      </c>
      <c r="Q183" s="148">
        <f>(L183/N183)-1</f>
        <v>-0.13675266064099789</v>
      </c>
    </row>
    <row r="184" spans="2:17" x14ac:dyDescent="0.2">
      <c r="C184" s="87">
        <v>0</v>
      </c>
      <c r="D184" s="149"/>
      <c r="E184" s="87">
        <v>0</v>
      </c>
      <c r="F184" s="149"/>
      <c r="G184" s="186"/>
      <c r="H184" s="145"/>
      <c r="I184" s="160"/>
      <c r="L184" s="87">
        <v>0</v>
      </c>
      <c r="M184" s="149"/>
      <c r="N184" s="87">
        <v>0</v>
      </c>
      <c r="O184" s="149"/>
      <c r="P184" s="186"/>
      <c r="Q184" s="145"/>
    </row>
    <row r="185" spans="2:17" x14ac:dyDescent="0.2">
      <c r="B185" s="71" t="s">
        <v>33</v>
      </c>
      <c r="C185" s="88">
        <f>25838.1669362669*((('2022 IR Data Book'!$A$5)))</f>
        <v>7035.3882634283345</v>
      </c>
      <c r="D185" s="144"/>
      <c r="E185" s="88">
        <f>42158.0725601911*((('2022 IR Data Book'!$A$5)))</f>
        <v>11479.08091275693</v>
      </c>
      <c r="F185" s="150"/>
      <c r="G185" s="147">
        <f>C185-E185</f>
        <v>-4443.6926493285955</v>
      </c>
      <c r="H185" s="148">
        <f>(C185/E185)-1</f>
        <v>-0.387112233383618</v>
      </c>
      <c r="I185" s="160"/>
      <c r="K185" s="71" t="s">
        <v>33</v>
      </c>
      <c r="L185" s="88">
        <f>127440.026254789*((('2022 IR Data Book'!$A$5)))</f>
        <v>34700.219532426345</v>
      </c>
      <c r="M185" s="144"/>
      <c r="N185" s="88">
        <f>157095.678157428*((('2022 IR Data Book'!$A$5)))</f>
        <v>42775.058039924843</v>
      </c>
      <c r="O185" s="150"/>
      <c r="P185" s="147">
        <f>L185-N185</f>
        <v>-8074.8385074984981</v>
      </c>
      <c r="Q185" s="148">
        <f>(L185/N185)-1</f>
        <v>-0.18877446057376956</v>
      </c>
    </row>
    <row r="186" spans="2:17" x14ac:dyDescent="0.2">
      <c r="C186" s="2">
        <f>C185/C183</f>
        <v>3.4335332731586856</v>
      </c>
      <c r="E186" s="2">
        <f>E185/E183</f>
        <v>5.3292299909301066</v>
      </c>
      <c r="I186" s="160"/>
      <c r="L186" s="2">
        <f>L185/L183</f>
        <v>4.4012072082979623</v>
      </c>
      <c r="N186" s="2">
        <f>N185/N183</f>
        <v>4.6834452663042336</v>
      </c>
    </row>
    <row r="187" spans="2:17" x14ac:dyDescent="0.2">
      <c r="B187" s="152"/>
      <c r="C187" s="152"/>
      <c r="D187" s="152"/>
      <c r="E187" s="152"/>
      <c r="F187" s="152"/>
      <c r="G187" s="36"/>
      <c r="H187" s="152"/>
      <c r="I187" s="162"/>
      <c r="K187" s="152"/>
      <c r="L187" s="152"/>
      <c r="M187" s="152"/>
      <c r="N187" s="152"/>
      <c r="O187" s="152"/>
      <c r="P187" s="36"/>
      <c r="Q187" s="152"/>
    </row>
    <row r="188" spans="2:17" x14ac:dyDescent="0.2">
      <c r="I188" s="160"/>
    </row>
    <row r="189" spans="2:17" x14ac:dyDescent="0.2">
      <c r="B189" s="71" t="s">
        <v>215</v>
      </c>
      <c r="I189" s="160"/>
      <c r="K189" s="71" t="s">
        <v>215</v>
      </c>
    </row>
    <row r="190" spans="2:17" x14ac:dyDescent="0.2">
      <c r="B190" s="58"/>
      <c r="I190" s="160"/>
      <c r="K190" s="58"/>
    </row>
    <row r="191" spans="2:17" x14ac:dyDescent="0.2">
      <c r="B191" s="50"/>
      <c r="I191" s="160"/>
      <c r="K191" s="50"/>
    </row>
    <row r="192" spans="2:17" x14ac:dyDescent="0.2">
      <c r="C192" s="158" t="s">
        <v>203</v>
      </c>
      <c r="D192" s="141"/>
      <c r="E192" s="158" t="s">
        <v>203</v>
      </c>
      <c r="I192" s="160"/>
      <c r="L192" s="158" t="s">
        <v>203</v>
      </c>
      <c r="M192" s="141"/>
      <c r="N192" s="158" t="s">
        <v>203</v>
      </c>
    </row>
    <row r="193" spans="2:17" x14ac:dyDescent="0.2">
      <c r="B193" s="142"/>
      <c r="C193" s="158" t="str">
        <f>$C$6</f>
        <v>Q4'22</v>
      </c>
      <c r="D193" s="141"/>
      <c r="E193" s="158" t="str">
        <f>$E$6</f>
        <v>Q4'21</v>
      </c>
      <c r="G193" s="185" t="s">
        <v>204</v>
      </c>
      <c r="H193" s="158" t="s">
        <v>29</v>
      </c>
      <c r="I193" s="160"/>
      <c r="K193" s="142"/>
      <c r="L193" s="158" t="str">
        <f>$L$6</f>
        <v>Dec YTD 2022</v>
      </c>
      <c r="M193" s="141"/>
      <c r="N193" s="158" t="str">
        <f>$N$6</f>
        <v>Dec YTD 2021</v>
      </c>
      <c r="P193" s="185" t="s">
        <v>204</v>
      </c>
      <c r="Q193" s="158" t="s">
        <v>29</v>
      </c>
    </row>
    <row r="194" spans="2:17" x14ac:dyDescent="0.2">
      <c r="H194" s="143"/>
      <c r="I194" s="160"/>
      <c r="Q194" s="143"/>
    </row>
    <row r="195" spans="2:17" x14ac:dyDescent="0.2">
      <c r="B195" s="20" t="s">
        <v>205</v>
      </c>
      <c r="C195" s="87">
        <f>C8+C30+C51+C72+C93+C114+C135+C156+C177</f>
        <v>165427.47013240319</v>
      </c>
      <c r="D195" s="144">
        <f>C195/$C$201</f>
        <v>0.39599499480802869</v>
      </c>
      <c r="E195" s="87">
        <f>E8+E30+E51+E72+E93+E114+E135+E156+E177</f>
        <v>183302.35218044097</v>
      </c>
      <c r="F195" s="144">
        <f>E195/$E$201</f>
        <v>0.41773355549321606</v>
      </c>
      <c r="G195" s="146">
        <f>C195-E195</f>
        <v>-17874.882048037776</v>
      </c>
      <c r="H195" s="145">
        <f>(C195/E195)-1</f>
        <v>-9.7515835642097648E-2</v>
      </c>
      <c r="I195" s="160"/>
      <c r="K195" s="20" t="s">
        <v>205</v>
      </c>
      <c r="L195" s="87">
        <f>L8+L30+L51+L72+L93+L114+L135+L156+L177</f>
        <v>612341.41117270291</v>
      </c>
      <c r="M195" s="144">
        <f>L195/$L$201</f>
        <v>0.3794942988669644</v>
      </c>
      <c r="N195" s="87">
        <f>N8+N30+N51+N72+N93+N114+N135+N156+N177</f>
        <v>724868.7765265319</v>
      </c>
      <c r="O195" s="144">
        <f>N195/$N$201</f>
        <v>0.4386618132260473</v>
      </c>
      <c r="P195" s="146">
        <f>L195-N195</f>
        <v>-112527.36535382899</v>
      </c>
      <c r="Q195" s="145">
        <f>(L195/N195)-1</f>
        <v>-0.15523825690636606</v>
      </c>
    </row>
    <row r="196" spans="2:17" x14ac:dyDescent="0.2">
      <c r="B196" s="20" t="s">
        <v>206</v>
      </c>
      <c r="C196" s="87">
        <f>C9+C31+C52+C73+C94+C115+C136+C157+C178</f>
        <v>104079.22797504437</v>
      </c>
      <c r="D196" s="144">
        <f t="shared" ref="D196:D199" si="68">C196/$C$201</f>
        <v>0.24914153198748792</v>
      </c>
      <c r="E196" s="87">
        <f>E9+E31+E52+E73+E94+E115+E136+E157+E178</f>
        <v>115437.89591241167</v>
      </c>
      <c r="F196" s="144">
        <f t="shared" ref="F196:F199" si="69">E196/$E$201</f>
        <v>0.26307508946027047</v>
      </c>
      <c r="G196" s="146">
        <f t="shared" ref="G196:G199" si="70">C196-E196</f>
        <v>-11358.667937367296</v>
      </c>
      <c r="H196" s="145">
        <f>(C196/E196)-1</f>
        <v>-9.8396352840540935E-2</v>
      </c>
      <c r="I196" s="160"/>
      <c r="K196" s="20" t="s">
        <v>206</v>
      </c>
      <c r="L196" s="87">
        <f>L9+L31+L52+L73+L94+L115+L136+L157+L178</f>
        <v>408755.54142480402</v>
      </c>
      <c r="M196" s="144">
        <f>L196/$L$201</f>
        <v>0.25332338262721665</v>
      </c>
      <c r="N196" s="87">
        <f>N9+N31+N52+N73+N94+N115+N136+N157+N178</f>
        <v>437721.49047000986</v>
      </c>
      <c r="O196" s="144">
        <f>N196/$N$201</f>
        <v>0.26489167269374642</v>
      </c>
      <c r="P196" s="146">
        <f t="shared" ref="P196:P199" si="71">L196-N196</f>
        <v>-28965.949045205838</v>
      </c>
      <c r="Q196" s="145">
        <f>(L196/N196)-1</f>
        <v>-6.6174381829192885E-2</v>
      </c>
    </row>
    <row r="197" spans="2:17" x14ac:dyDescent="0.2">
      <c r="B197" s="20" t="s">
        <v>207</v>
      </c>
      <c r="C197" s="87">
        <f>C10+C32+C53+C74+C95+C116+C137+C158+C179</f>
        <v>114715.16214407196</v>
      </c>
      <c r="D197" s="144">
        <f t="shared" si="68"/>
        <v>0.27460149152547536</v>
      </c>
      <c r="E197" s="87">
        <f>E10+E32+E53+E74+E95+E116+E137+E158+E179</f>
        <v>106375.87051118346</v>
      </c>
      <c r="F197" s="144">
        <f t="shared" si="69"/>
        <v>0.24242335179408672</v>
      </c>
      <c r="G197" s="81">
        <f t="shared" si="70"/>
        <v>8339.291632888504</v>
      </c>
      <c r="H197" s="82">
        <f>(C197/E197)-1</f>
        <v>7.8394579455044466E-2</v>
      </c>
      <c r="I197" s="160"/>
      <c r="K197" s="20" t="s">
        <v>207</v>
      </c>
      <c r="L197" s="87">
        <f>L10+L32+L53+L74+L95+L116+L137+L158+L179</f>
        <v>458633.002532374</v>
      </c>
      <c r="M197" s="144">
        <f>L197/$L$201</f>
        <v>0.28423458965473403</v>
      </c>
      <c r="N197" s="87">
        <f>N10+N32+N53+N74+N95+N116+N137+N158+N179</f>
        <v>360929.96377469826</v>
      </c>
      <c r="O197" s="144">
        <f>N197/$N$201</f>
        <v>0.21842048862374416</v>
      </c>
      <c r="P197" s="81">
        <f t="shared" si="71"/>
        <v>97703.038757675735</v>
      </c>
      <c r="Q197" s="82">
        <f>(L197/N197)-1</f>
        <v>0.27069805381596002</v>
      </c>
    </row>
    <row r="198" spans="2:17" x14ac:dyDescent="0.2">
      <c r="B198" s="20" t="s">
        <v>208</v>
      </c>
      <c r="C198" s="87">
        <f>C11+C33+C54+C75+C96+C117+C138+C159+C180</f>
        <v>30212.50293416424</v>
      </c>
      <c r="D198" s="144">
        <f t="shared" si="68"/>
        <v>7.2321724638455112E-2</v>
      </c>
      <c r="E198" s="87">
        <f>E11+E33+E54+E75+E96+E117+E138+E159+E180</f>
        <v>30772.860375234606</v>
      </c>
      <c r="F198" s="144">
        <f t="shared" si="69"/>
        <v>7.0129249430410281E-2</v>
      </c>
      <c r="G198" s="146">
        <f t="shared" si="70"/>
        <v>-560.35744107036589</v>
      </c>
      <c r="H198" s="145">
        <f>(C198/E198)-1</f>
        <v>-1.8209468805874485E-2</v>
      </c>
      <c r="I198" s="160"/>
      <c r="K198" s="20" t="s">
        <v>208</v>
      </c>
      <c r="L198" s="87">
        <f>L11+L33+L54+L75+L96+L117+L138+L159+L180</f>
        <v>121247.71767542341</v>
      </c>
      <c r="M198" s="144">
        <f>L198/$L$201</f>
        <v>7.5142423440437769E-2</v>
      </c>
      <c r="N198" s="87">
        <f>N11+N33+N54+N75+N96+N117+N138+N159+N180</f>
        <v>118405.4962176792</v>
      </c>
      <c r="O198" s="144">
        <f>N198/$N$201</f>
        <v>7.1654306750065844E-2</v>
      </c>
      <c r="P198" s="146">
        <f t="shared" si="71"/>
        <v>2842.2214577442064</v>
      </c>
      <c r="Q198" s="145">
        <f>(L198/N198)-1</f>
        <v>2.4004134508410102E-2</v>
      </c>
    </row>
    <row r="199" spans="2:17" x14ac:dyDescent="0.2">
      <c r="B199" s="20" t="s">
        <v>209</v>
      </c>
      <c r="C199" s="87">
        <f>C12+C34+C55+C76+C97+C118+C139+C160+C181</f>
        <v>3317.0536285602379</v>
      </c>
      <c r="D199" s="144">
        <f t="shared" si="68"/>
        <v>7.940257040552871E-3</v>
      </c>
      <c r="E199" s="87">
        <f>E12+E34+E55+E76+E97+E118+E139+E160+E181</f>
        <v>2913.0989721084761</v>
      </c>
      <c r="F199" s="144">
        <f t="shared" si="69"/>
        <v>6.6387538220164443E-3</v>
      </c>
      <c r="G199" s="146">
        <f t="shared" si="70"/>
        <v>403.95465645176182</v>
      </c>
      <c r="H199" s="145">
        <f>(C199/E199)-1</f>
        <v>0.13866835981867887</v>
      </c>
      <c r="I199" s="160"/>
      <c r="K199" s="20" t="s">
        <v>209</v>
      </c>
      <c r="L199" s="87">
        <f>L12+L34+L55+L76+L97+L118+L139+L160+L181</f>
        <v>12594.423009935759</v>
      </c>
      <c r="M199" s="144">
        <f>L199/$L$201</f>
        <v>7.8053054106470279E-3</v>
      </c>
      <c r="N199" s="87">
        <f>N12+N34+N55+N76+N97+N118+N139+N160+N181</f>
        <v>10528.97654598573</v>
      </c>
      <c r="O199" s="144">
        <f>N199/$N$201</f>
        <v>6.3717187063961926E-3</v>
      </c>
      <c r="P199" s="146">
        <f t="shared" si="71"/>
        <v>2065.4464639500293</v>
      </c>
      <c r="Q199" s="145">
        <f>(L199/N199)-1</f>
        <v>0.19616782836670854</v>
      </c>
    </row>
    <row r="200" spans="2:17" x14ac:dyDescent="0.2">
      <c r="C200" s="87"/>
      <c r="D200" s="144"/>
      <c r="E200" s="87"/>
      <c r="F200" s="144"/>
      <c r="G200" s="146"/>
      <c r="H200" s="145"/>
      <c r="I200" s="160"/>
      <c r="L200" s="87"/>
      <c r="M200" s="144"/>
      <c r="N200" s="87"/>
      <c r="O200" s="144"/>
      <c r="P200" s="146"/>
      <c r="Q200" s="145"/>
    </row>
    <row r="201" spans="2:17" x14ac:dyDescent="0.2">
      <c r="B201" s="71" t="s">
        <v>210</v>
      </c>
      <c r="C201" s="88">
        <f>SUM(C195:C199)</f>
        <v>417751.416814244</v>
      </c>
      <c r="D201" s="144">
        <f>C201/$C$201</f>
        <v>1</v>
      </c>
      <c r="E201" s="88">
        <f>SUM(E195:E199)</f>
        <v>438802.07795137918</v>
      </c>
      <c r="F201" s="144">
        <f>E201/$E$201</f>
        <v>1</v>
      </c>
      <c r="G201" s="147">
        <f>C201-E201</f>
        <v>-21050.661137135176</v>
      </c>
      <c r="H201" s="148">
        <f>(C201/E201)-1</f>
        <v>-4.7973020627918861E-2</v>
      </c>
      <c r="I201" s="160"/>
      <c r="K201" s="71" t="s">
        <v>210</v>
      </c>
      <c r="L201" s="88">
        <f>SUM(L195:L199)</f>
        <v>1613572.0958152402</v>
      </c>
      <c r="M201" s="144">
        <f>L201/$L$201</f>
        <v>1</v>
      </c>
      <c r="N201" s="88">
        <f>SUM(N195:N199)</f>
        <v>1652454.7035349051</v>
      </c>
      <c r="O201" s="144">
        <f>N201/$N$201</f>
        <v>1</v>
      </c>
      <c r="P201" s="147">
        <f>L201-N201</f>
        <v>-38882.607719664928</v>
      </c>
      <c r="Q201" s="148">
        <f>(L201/N201)-1</f>
        <v>-2.35302109258958E-2</v>
      </c>
    </row>
    <row r="202" spans="2:17" x14ac:dyDescent="0.2">
      <c r="C202" s="224">
        <v>9.1116409748792648E-5</v>
      </c>
      <c r="D202" s="151"/>
      <c r="E202" s="224">
        <v>3.7001350428909063E-3</v>
      </c>
      <c r="F202" s="149"/>
      <c r="G202" s="186"/>
      <c r="H202" s="145"/>
      <c r="I202" s="160"/>
      <c r="L202" s="87">
        <v>-2.6583578437566757E-4</v>
      </c>
      <c r="M202" s="149"/>
      <c r="N202" s="87">
        <v>5.0828317180275917E-3</v>
      </c>
      <c r="O202" s="149"/>
      <c r="P202" s="186"/>
      <c r="Q202" s="145"/>
    </row>
    <row r="203" spans="2:17" x14ac:dyDescent="0.2">
      <c r="B203" s="71" t="s">
        <v>33</v>
      </c>
      <c r="C203" s="88">
        <f>C16+C38+C59+C80+C101+C122+C143+C164+C185</f>
        <v>103674.24746526331</v>
      </c>
      <c r="D203" s="150"/>
      <c r="E203" s="88">
        <f>E16+E38+E59+E80+E101+E122+E143+E164+E185</f>
        <v>89167.536747065722</v>
      </c>
      <c r="F203" s="150"/>
      <c r="G203" s="147">
        <f>C203-E203</f>
        <v>14506.710718197588</v>
      </c>
      <c r="H203" s="148">
        <f>(C203/E203)-1</f>
        <v>0.1626904953015309</v>
      </c>
      <c r="I203" s="160"/>
      <c r="K203" s="71" t="s">
        <v>33</v>
      </c>
      <c r="L203" s="88">
        <f>L16+L38+L59+L80+L101+L122+L143+L164+L185</f>
        <v>387819.02012171637</v>
      </c>
      <c r="M203" s="150"/>
      <c r="N203" s="88">
        <f>N16+N38+N59+N80+N101+N122+N143+N164+N185</f>
        <v>389606.11094705516</v>
      </c>
      <c r="O203" s="150"/>
      <c r="P203" s="147">
        <f>L203-N203</f>
        <v>-1787.0908253387897</v>
      </c>
      <c r="Q203" s="148">
        <f>(L203/N203)-1</f>
        <v>-4.5869168247765213E-3</v>
      </c>
    </row>
    <row r="204" spans="2:17" x14ac:dyDescent="0.2">
      <c r="C204" s="90">
        <v>0</v>
      </c>
      <c r="E204" s="90">
        <v>-9.0306100901216269E-4</v>
      </c>
      <c r="I204" s="160"/>
      <c r="L204" s="90">
        <v>0</v>
      </c>
      <c r="N204" s="90">
        <v>8.4514683112502098E-4</v>
      </c>
    </row>
    <row r="205" spans="2:17" x14ac:dyDescent="0.2">
      <c r="C205" s="139"/>
      <c r="I205" s="160"/>
    </row>
    <row r="206" spans="2:17" x14ac:dyDescent="0.2">
      <c r="C206" s="155"/>
      <c r="E206" s="89"/>
      <c r="I206" s="160"/>
      <c r="L206" s="155"/>
      <c r="N206" s="89"/>
    </row>
    <row r="207" spans="2:17" x14ac:dyDescent="0.2">
      <c r="I207" s="160"/>
    </row>
    <row r="208" spans="2:17" x14ac:dyDescent="0.2">
      <c r="B208" s="20" t="s">
        <v>216</v>
      </c>
      <c r="I208" s="160"/>
      <c r="K208" s="20" t="s">
        <v>216</v>
      </c>
    </row>
    <row r="209" spans="2:17" x14ac:dyDescent="0.2">
      <c r="B209" s="20" t="s">
        <v>206</v>
      </c>
      <c r="C209" s="90">
        <f>C20+C41+C62+C83+C104+C125+C146+C167</f>
        <v>26477337</v>
      </c>
      <c r="D209" s="90"/>
      <c r="E209" s="90">
        <f>E20+E41+E62+E83+E104+E125+E146+E167</f>
        <v>29436845</v>
      </c>
      <c r="G209" s="90"/>
      <c r="H209" s="90"/>
      <c r="I209" s="161"/>
      <c r="K209" s="20" t="s">
        <v>206</v>
      </c>
      <c r="L209" s="83">
        <f>L20+L41+L62+L83+L104+L125+L146+L167</f>
        <v>100068521</v>
      </c>
      <c r="M209" s="83"/>
      <c r="N209" s="83">
        <f>N20+N41+N62+N83+N104+N125+N146+N167</f>
        <v>108226277.3334842</v>
      </c>
      <c r="P209" s="83"/>
      <c r="Q209" s="90"/>
    </row>
    <row r="210" spans="2:17" x14ac:dyDescent="0.2">
      <c r="B210" s="20" t="s">
        <v>217</v>
      </c>
      <c r="C210" s="90">
        <f>C21+C42+C63+C84+C105+C126+C147+C168</f>
        <v>5811173</v>
      </c>
      <c r="D210" s="90"/>
      <c r="E210" s="90">
        <f>E21+E42+E63+E84+E105+E126+E147+E168</f>
        <v>6052494</v>
      </c>
      <c r="G210" s="90"/>
      <c r="H210" s="90"/>
      <c r="I210" s="161"/>
      <c r="K210" s="20" t="s">
        <v>217</v>
      </c>
      <c r="L210" s="83">
        <f>L21+L42+L63+L84+L105+L126+L147+L168</f>
        <v>22204852</v>
      </c>
      <c r="M210" s="83"/>
      <c r="N210" s="83">
        <f>N21+N42+N63+N84+N105+N126+N147+N168</f>
        <v>25756638.666515797</v>
      </c>
      <c r="P210" s="83"/>
      <c r="Q210" s="90"/>
    </row>
    <row r="211" spans="2:17" x14ac:dyDescent="0.2">
      <c r="C211" s="90"/>
      <c r="D211" s="90"/>
      <c r="E211" s="90"/>
      <c r="G211" s="188"/>
      <c r="H211" s="90"/>
      <c r="I211" s="161"/>
      <c r="L211" s="90"/>
      <c r="M211" s="90"/>
      <c r="N211" s="90"/>
      <c r="P211" s="188"/>
      <c r="Q211" s="90"/>
    </row>
    <row r="212" spans="2:17" s="58" customFormat="1" x14ac:dyDescent="0.2">
      <c r="C212" s="156">
        <f>C209-'[7]Act''22 vs Act''21-QTD EBIT'!$D$98</f>
        <v>0</v>
      </c>
      <c r="E212" s="156">
        <f>E209-'[7]Act''22 vs Act''21-QTD EBIT'!$F$98</f>
        <v>0</v>
      </c>
      <c r="F212" s="20"/>
      <c r="G212" s="189"/>
      <c r="I212" s="164"/>
      <c r="L212" s="156">
        <f>L209-'[7]Act''22 vs Act''21-YTD EBIT'!$D$98</f>
        <v>0</v>
      </c>
      <c r="N212" s="156">
        <f>N209-'[7]Act''22 vs Act''21-YTD EBIT'!$F$98</f>
        <v>0.33348418772220612</v>
      </c>
      <c r="P212" s="189"/>
    </row>
    <row r="213" spans="2:17" s="58" customFormat="1" x14ac:dyDescent="0.2">
      <c r="C213" s="156">
        <f>C210-'[7]Act''22 vs Act''21-QTD EBIT'!$D$93</f>
        <v>0</v>
      </c>
      <c r="E213" s="156">
        <f>E210-'[7]Act''22 vs Act''21-QTD EBIT'!$F$93</f>
        <v>0</v>
      </c>
      <c r="G213" s="189"/>
      <c r="L213" s="156">
        <f>L210-'[7]Act''22 vs Act''21-YTD EBIT'!$D$93</f>
        <v>0</v>
      </c>
      <c r="N213" s="156">
        <f>N210-'[7]Act''22 vs Act''21-YTD EBIT'!$F$93</f>
        <v>-0.33348420262336731</v>
      </c>
      <c r="P213" s="189"/>
    </row>
    <row r="214" spans="2:17" s="58" customFormat="1" x14ac:dyDescent="0.2">
      <c r="C214" s="156"/>
      <c r="E214" s="156"/>
      <c r="G214" s="189"/>
      <c r="L214" s="156"/>
      <c r="N214" s="156"/>
      <c r="P214" s="189"/>
    </row>
    <row r="215" spans="2:17" s="58" customFormat="1" x14ac:dyDescent="0.2">
      <c r="G215" s="189"/>
      <c r="P215" s="189"/>
    </row>
    <row r="216" spans="2:17" s="58" customFormat="1" x14ac:dyDescent="0.2">
      <c r="G216" s="189"/>
      <c r="P216" s="189"/>
    </row>
    <row r="217" spans="2:17" s="58" customFormat="1" x14ac:dyDescent="0.2">
      <c r="G217" s="189"/>
      <c r="P217" s="189"/>
    </row>
    <row r="218" spans="2:17" s="58" customFormat="1" x14ac:dyDescent="0.2">
      <c r="G218" s="189"/>
      <c r="P218" s="189"/>
    </row>
    <row r="219" spans="2:17" s="58" customFormat="1" x14ac:dyDescent="0.2">
      <c r="G219" s="189"/>
      <c r="P219" s="189"/>
    </row>
    <row r="220" spans="2:17" s="58" customFormat="1" x14ac:dyDescent="0.2">
      <c r="G220" s="189"/>
      <c r="P220" s="189"/>
    </row>
    <row r="221" spans="2:17" s="58" customFormat="1" x14ac:dyDescent="0.2">
      <c r="C221" s="157"/>
      <c r="G221" s="189"/>
      <c r="L221" s="157"/>
      <c r="P221" s="189"/>
    </row>
    <row r="222" spans="2:17" s="58" customFormat="1" x14ac:dyDescent="0.2">
      <c r="C222" s="157"/>
      <c r="D222" s="189"/>
      <c r="E222" s="189"/>
      <c r="F222" s="189"/>
      <c r="G222" s="189"/>
      <c r="H222" s="189"/>
      <c r="I222" s="189"/>
      <c r="J222" s="189"/>
      <c r="K222" s="189"/>
      <c r="L222" s="157"/>
      <c r="O222" s="156"/>
      <c r="P222" s="189"/>
    </row>
    <row r="223" spans="2:17" x14ac:dyDescent="0.2">
      <c r="B223" s="158" t="s">
        <v>293</v>
      </c>
      <c r="C223" s="234"/>
      <c r="K223" s="158" t="s">
        <v>293</v>
      </c>
      <c r="L223" s="234"/>
      <c r="M223" s="58"/>
    </row>
    <row r="224" spans="2:17" x14ac:dyDescent="0.2">
      <c r="B224" s="235">
        <v>2021</v>
      </c>
      <c r="C224" s="236">
        <f>E209</f>
        <v>29436845</v>
      </c>
      <c r="D224" s="229">
        <f>C224/1000000</f>
        <v>29.436845000000002</v>
      </c>
      <c r="K224" s="235">
        <v>2021</v>
      </c>
      <c r="L224" s="236">
        <f>N209</f>
        <v>108226277.3334842</v>
      </c>
      <c r="M224" s="229">
        <f>L224/1000000</f>
        <v>108.22627733348421</v>
      </c>
    </row>
    <row r="225" spans="2:13" x14ac:dyDescent="0.2">
      <c r="B225" s="141" t="s">
        <v>192</v>
      </c>
      <c r="C225" s="57">
        <f>G20</f>
        <v>48308</v>
      </c>
      <c r="D225" s="229">
        <f t="shared" ref="D225:D233" si="72">C225/1000000</f>
        <v>4.8307999999999997E-2</v>
      </c>
      <c r="K225" s="141" t="s">
        <v>192</v>
      </c>
      <c r="L225" s="57">
        <f>P20</f>
        <v>205594.54900739342</v>
      </c>
      <c r="M225" s="229">
        <f t="shared" ref="M225:M233" si="73">L225/1000000</f>
        <v>0.20559454900739341</v>
      </c>
    </row>
    <row r="226" spans="2:13" x14ac:dyDescent="0.2">
      <c r="B226" s="141" t="s">
        <v>212</v>
      </c>
      <c r="C226" s="57">
        <f>G41</f>
        <v>-869529</v>
      </c>
      <c r="D226" s="229">
        <f t="shared" si="72"/>
        <v>-0.869529</v>
      </c>
      <c r="K226" s="141" t="s">
        <v>212</v>
      </c>
      <c r="L226" s="57">
        <f>P41</f>
        <v>537107</v>
      </c>
      <c r="M226" s="229">
        <f t="shared" si="73"/>
        <v>0.537107</v>
      </c>
    </row>
    <row r="227" spans="2:13" x14ac:dyDescent="0.2">
      <c r="B227" s="141" t="s">
        <v>193</v>
      </c>
      <c r="C227" s="57">
        <f>G62</f>
        <v>-151046</v>
      </c>
      <c r="D227" s="229">
        <f t="shared" si="72"/>
        <v>-0.15104600000000001</v>
      </c>
      <c r="K227" s="141" t="s">
        <v>193</v>
      </c>
      <c r="L227" s="57">
        <f>P62</f>
        <v>-462439</v>
      </c>
      <c r="M227" s="229">
        <f t="shared" si="73"/>
        <v>-0.46243899999999999</v>
      </c>
    </row>
    <row r="228" spans="2:13" x14ac:dyDescent="0.2">
      <c r="B228" s="141" t="s">
        <v>194</v>
      </c>
      <c r="C228" s="57">
        <f>G83</f>
        <v>-4308</v>
      </c>
      <c r="D228" s="229">
        <f t="shared" si="72"/>
        <v>-4.3080000000000002E-3</v>
      </c>
      <c r="K228" s="141" t="s">
        <v>194</v>
      </c>
      <c r="L228" s="57">
        <f>P83</f>
        <v>-10495</v>
      </c>
      <c r="M228" s="229">
        <f t="shared" si="73"/>
        <v>-1.0495000000000001E-2</v>
      </c>
    </row>
    <row r="229" spans="2:13" x14ac:dyDescent="0.2">
      <c r="B229" s="141" t="s">
        <v>195</v>
      </c>
      <c r="C229" s="57">
        <f>G104</f>
        <v>0</v>
      </c>
      <c r="D229" s="229">
        <f t="shared" si="72"/>
        <v>0</v>
      </c>
      <c r="K229" s="141" t="s">
        <v>195</v>
      </c>
      <c r="L229" s="57">
        <f>P104</f>
        <v>0</v>
      </c>
      <c r="M229" s="229">
        <f t="shared" si="73"/>
        <v>0</v>
      </c>
    </row>
    <row r="230" spans="2:13" x14ac:dyDescent="0.2">
      <c r="B230" s="141" t="s">
        <v>213</v>
      </c>
      <c r="C230" s="57">
        <f>G125</f>
        <v>73</v>
      </c>
      <c r="D230" s="229">
        <f t="shared" si="72"/>
        <v>7.2999999999999999E-5</v>
      </c>
      <c r="K230" s="141" t="s">
        <v>213</v>
      </c>
      <c r="L230" s="57">
        <f>P125</f>
        <v>306</v>
      </c>
      <c r="M230" s="229">
        <f t="shared" si="73"/>
        <v>3.0600000000000001E-4</v>
      </c>
    </row>
    <row r="231" spans="2:13" x14ac:dyDescent="0.2">
      <c r="B231" s="141" t="s">
        <v>214</v>
      </c>
      <c r="C231" s="57">
        <f>G146</f>
        <v>-19899</v>
      </c>
      <c r="D231" s="229">
        <f t="shared" si="72"/>
        <v>-1.9899E-2</v>
      </c>
      <c r="K231" s="141" t="s">
        <v>214</v>
      </c>
      <c r="L231" s="57">
        <f>P146</f>
        <v>113117.86285981</v>
      </c>
      <c r="M231" s="229">
        <f t="shared" si="73"/>
        <v>0.11311786285981</v>
      </c>
    </row>
    <row r="232" spans="2:13" x14ac:dyDescent="0.2">
      <c r="B232" s="141" t="s">
        <v>196</v>
      </c>
      <c r="C232" s="57">
        <f>G167</f>
        <v>-1963107</v>
      </c>
      <c r="D232" s="229">
        <f t="shared" si="72"/>
        <v>-1.9631069999999999</v>
      </c>
      <c r="K232" s="141" t="s">
        <v>196</v>
      </c>
      <c r="L232" s="57">
        <f>P167</f>
        <v>-8540947.745351404</v>
      </c>
      <c r="M232" s="229">
        <f t="shared" si="73"/>
        <v>-8.5409477453514047</v>
      </c>
    </row>
    <row r="233" spans="2:13" ht="13.5" thickBot="1" x14ac:dyDescent="0.25">
      <c r="B233" s="237">
        <v>2022</v>
      </c>
      <c r="C233" s="238">
        <f>SUM(C224:C232)</f>
        <v>26477337</v>
      </c>
      <c r="D233" s="229">
        <f t="shared" si="72"/>
        <v>26.477336999999999</v>
      </c>
      <c r="K233" s="237">
        <v>2022</v>
      </c>
      <c r="L233" s="238">
        <f>SUM(L224:L232)</f>
        <v>100068521</v>
      </c>
      <c r="M233" s="229">
        <f t="shared" si="73"/>
        <v>100.068521</v>
      </c>
    </row>
    <row r="234" spans="2:13" ht="13.5" thickTop="1" x14ac:dyDescent="0.2">
      <c r="B234" s="71"/>
      <c r="C234" s="154">
        <f>C233-C209</f>
        <v>0</v>
      </c>
      <c r="L234" s="154">
        <f>L233-L209</f>
        <v>0</v>
      </c>
    </row>
    <row r="237" spans="2:13" x14ac:dyDescent="0.2">
      <c r="B237" s="158" t="s">
        <v>294</v>
      </c>
      <c r="C237" s="234"/>
      <c r="K237" s="158" t="s">
        <v>294</v>
      </c>
      <c r="L237" s="234"/>
    </row>
    <row r="238" spans="2:13" x14ac:dyDescent="0.2">
      <c r="B238" s="235">
        <v>2021</v>
      </c>
      <c r="C238" s="236">
        <f>E210</f>
        <v>6052494</v>
      </c>
      <c r="D238" s="229">
        <f>C238/1000000</f>
        <v>6.0524940000000003</v>
      </c>
      <c r="K238" s="235">
        <v>2021</v>
      </c>
      <c r="L238" s="236">
        <f>N210</f>
        <v>25756638.666515797</v>
      </c>
      <c r="M238" s="229">
        <f>L238/1000000</f>
        <v>25.756638666515798</v>
      </c>
    </row>
    <row r="239" spans="2:13" x14ac:dyDescent="0.2">
      <c r="B239" s="141" t="s">
        <v>192</v>
      </c>
      <c r="C239" s="57">
        <f>G21</f>
        <v>-106887</v>
      </c>
      <c r="D239" s="229">
        <f t="shared" ref="D239:D247" si="74">C239/1000000</f>
        <v>-0.106887</v>
      </c>
      <c r="K239" s="141" t="s">
        <v>192</v>
      </c>
      <c r="L239" s="57">
        <f>P21</f>
        <v>-303129</v>
      </c>
      <c r="M239" s="229">
        <f t="shared" ref="M239:M247" si="75">L239/1000000</f>
        <v>-0.30312899999999998</v>
      </c>
    </row>
    <row r="240" spans="2:13" x14ac:dyDescent="0.2">
      <c r="B240" s="141" t="s">
        <v>212</v>
      </c>
      <c r="C240" s="57">
        <f>G42</f>
        <v>-27967</v>
      </c>
      <c r="D240" s="229">
        <f t="shared" si="74"/>
        <v>-2.7966999999999999E-2</v>
      </c>
      <c r="K240" s="141" t="s">
        <v>212</v>
      </c>
      <c r="L240" s="57">
        <f>P42</f>
        <v>-1902314.8997353986</v>
      </c>
      <c r="M240" s="229">
        <f t="shared" si="75"/>
        <v>-1.9023148997353987</v>
      </c>
    </row>
    <row r="241" spans="2:13" x14ac:dyDescent="0.2">
      <c r="B241" s="141" t="s">
        <v>193</v>
      </c>
      <c r="C241" s="57">
        <f>G63</f>
        <v>-3394</v>
      </c>
      <c r="D241" s="229">
        <f t="shared" si="74"/>
        <v>-3.3939999999999999E-3</v>
      </c>
      <c r="K241" s="141" t="s">
        <v>193</v>
      </c>
      <c r="L241" s="57">
        <f>P63</f>
        <v>-4315.7152107991278</v>
      </c>
      <c r="M241" s="229">
        <f t="shared" si="75"/>
        <v>-4.3157152107991276E-3</v>
      </c>
    </row>
    <row r="242" spans="2:13" x14ac:dyDescent="0.2">
      <c r="B242" s="141" t="s">
        <v>194</v>
      </c>
      <c r="C242" s="57">
        <f>G84</f>
        <v>348939</v>
      </c>
      <c r="D242" s="229">
        <f t="shared" si="74"/>
        <v>0.348939</v>
      </c>
      <c r="K242" s="141" t="s">
        <v>194</v>
      </c>
      <c r="L242" s="57">
        <f>P84</f>
        <v>499652.4832053408</v>
      </c>
      <c r="M242" s="229">
        <f t="shared" si="75"/>
        <v>0.49965248320534078</v>
      </c>
    </row>
    <row r="243" spans="2:13" x14ac:dyDescent="0.2">
      <c r="B243" s="141" t="s">
        <v>195</v>
      </c>
      <c r="C243" s="57">
        <f>G105</f>
        <v>52848</v>
      </c>
      <c r="D243" s="229">
        <f t="shared" si="74"/>
        <v>5.2847999999999999E-2</v>
      </c>
      <c r="K243" s="141" t="s">
        <v>195</v>
      </c>
      <c r="L243" s="57">
        <f>P105</f>
        <v>2920.7039990760386</v>
      </c>
      <c r="M243" s="229">
        <f t="shared" si="75"/>
        <v>2.9207039990760387E-3</v>
      </c>
    </row>
    <row r="244" spans="2:13" x14ac:dyDescent="0.2">
      <c r="B244" s="141" t="s">
        <v>213</v>
      </c>
      <c r="C244" s="57">
        <f>G126</f>
        <v>-546969</v>
      </c>
      <c r="D244" s="229">
        <f t="shared" si="74"/>
        <v>-0.54696900000000004</v>
      </c>
      <c r="K244" s="141" t="s">
        <v>213</v>
      </c>
      <c r="L244" s="57">
        <f>P126</f>
        <v>-2025520.2387740174</v>
      </c>
      <c r="M244" s="229">
        <f t="shared" si="75"/>
        <v>-2.0255202387740172</v>
      </c>
    </row>
    <row r="245" spans="2:13" x14ac:dyDescent="0.2">
      <c r="B245" s="141" t="s">
        <v>214</v>
      </c>
      <c r="C245" s="57">
        <f>G147</f>
        <v>41376</v>
      </c>
      <c r="D245" s="229">
        <f t="shared" si="74"/>
        <v>4.1376000000000003E-2</v>
      </c>
      <c r="K245" s="141" t="s">
        <v>214</v>
      </c>
      <c r="L245" s="57">
        <f>P147</f>
        <v>177367.99999999814</v>
      </c>
      <c r="M245" s="229">
        <f t="shared" si="75"/>
        <v>0.17736799999999814</v>
      </c>
    </row>
    <row r="246" spans="2:13" x14ac:dyDescent="0.2">
      <c r="B246" s="141" t="s">
        <v>196</v>
      </c>
      <c r="C246" s="57">
        <f>G168</f>
        <v>733</v>
      </c>
      <c r="D246" s="229">
        <f t="shared" si="74"/>
        <v>7.3300000000000004E-4</v>
      </c>
      <c r="K246" s="141" t="s">
        <v>196</v>
      </c>
      <c r="L246" s="57">
        <f>P168</f>
        <v>3552</v>
      </c>
      <c r="M246" s="229">
        <f t="shared" si="75"/>
        <v>3.552E-3</v>
      </c>
    </row>
    <row r="247" spans="2:13" ht="13.5" thickBot="1" x14ac:dyDescent="0.25">
      <c r="B247" s="237">
        <v>2022</v>
      </c>
      <c r="C247" s="238">
        <f>SUM(C238:C246)</f>
        <v>5811173</v>
      </c>
      <c r="D247" s="229">
        <f t="shared" si="74"/>
        <v>5.8111730000000001</v>
      </c>
      <c r="K247" s="237">
        <v>2022</v>
      </c>
      <c r="L247" s="238">
        <f>SUM(L238:L246)</f>
        <v>22204852</v>
      </c>
      <c r="M247" s="229">
        <f t="shared" si="75"/>
        <v>22.204851999999999</v>
      </c>
    </row>
    <row r="248" spans="2:13" ht="13.5" thickTop="1" x14ac:dyDescent="0.2">
      <c r="C248" s="154">
        <f>C247-C210</f>
        <v>0</v>
      </c>
      <c r="L248" s="154">
        <f>L247-L210</f>
        <v>0</v>
      </c>
    </row>
  </sheetData>
  <pageMargins left="0.7" right="0.7" top="0.75" bottom="0.75" header="0.3" footer="0.3"/>
  <pageSetup paperSize="9" orientation="portrait" r:id="rId1"/>
  <ignoredErrors>
    <ignoredError sqref="M14 M36 M57 M78 M95:M99 M94 M118:M120 M141 M159:M164 M178:M183 D14 D36 D57 D78 D118:D120 M195:M201 D195:D201 D141 D159:D162" formula="1"/>
    <ignoredError sqref="F21 F42:K42 H21:K21" formulaRange="1"/>
    <ignoredError sqref="Q94:Q96 O104:Q104 Q118 D100:D101 F104:H104 H118 F94:H94 F96:H99 F95:H95 H158:H159 Q158:Q159 F100:H101"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EE428-DBC2-4C0E-B1A9-37A83728E83A}">
  <dimension ref="A1:O34"/>
  <sheetViews>
    <sheetView showGridLines="0" workbookViewId="0">
      <selection activeCell="G29" sqref="G29"/>
    </sheetView>
  </sheetViews>
  <sheetFormatPr defaultColWidth="9.140625" defaultRowHeight="12.75" x14ac:dyDescent="0.2"/>
  <cols>
    <col min="1" max="6" width="9.140625" style="20"/>
    <col min="7" max="7" width="10" style="20" bestFit="1" customWidth="1"/>
    <col min="8" max="13" width="9.140625" style="20"/>
    <col min="14" max="14" width="10" style="20" bestFit="1" customWidth="1"/>
    <col min="15" max="16384" width="9.140625" style="20"/>
  </cols>
  <sheetData>
    <row r="1" spans="1:14" ht="91.5" customHeight="1" x14ac:dyDescent="0.2">
      <c r="A1" s="177">
        <f>'2022 IR Data Book'!$A$5</f>
        <v>0.27228666339922669</v>
      </c>
    </row>
    <row r="2" spans="1:14" ht="15" x14ac:dyDescent="0.2">
      <c r="B2" s="165"/>
    </row>
    <row r="3" spans="1:14" ht="15" x14ac:dyDescent="0.2">
      <c r="B3" s="165"/>
      <c r="C3" s="71" t="s">
        <v>218</v>
      </c>
      <c r="D3" s="170"/>
      <c r="E3" s="170"/>
      <c r="F3" s="170"/>
      <c r="G3" s="170"/>
      <c r="H3" s="170"/>
      <c r="I3" s="170"/>
      <c r="J3" s="170"/>
      <c r="K3" s="170"/>
      <c r="L3" s="170"/>
      <c r="M3" s="170"/>
    </row>
    <row r="4" spans="1:14" x14ac:dyDescent="0.2">
      <c r="B4" s="262" t="s">
        <v>219</v>
      </c>
      <c r="C4" s="262"/>
      <c r="D4" s="262"/>
      <c r="E4" s="262"/>
      <c r="F4" s="262"/>
      <c r="G4" s="262"/>
      <c r="I4" s="262" t="s">
        <v>220</v>
      </c>
      <c r="J4" s="262"/>
      <c r="K4" s="262"/>
      <c r="L4" s="262"/>
      <c r="M4" s="262"/>
      <c r="N4" s="262"/>
    </row>
    <row r="6" spans="1:14" x14ac:dyDescent="0.2">
      <c r="B6" s="20" t="s">
        <v>221</v>
      </c>
      <c r="G6" s="28">
        <f>5068145*('2022 IR Data Book'!$A$5)</f>
        <v>1379988.2916734738</v>
      </c>
      <c r="J6" s="20" t="str">
        <f>B6</f>
        <v xml:space="preserve">Total Revenues </v>
      </c>
      <c r="N6" s="28">
        <f>G6</f>
        <v>1379988.2916734738</v>
      </c>
    </row>
    <row r="7" spans="1:14" x14ac:dyDescent="0.2">
      <c r="B7" s="20" t="s">
        <v>222</v>
      </c>
      <c r="G7" s="28">
        <f>(-2488576)*('2022 IR Data Book'!$A$5)</f>
        <v>-677606.05565539398</v>
      </c>
      <c r="J7" s="166" t="s">
        <v>222</v>
      </c>
      <c r="K7" s="167"/>
      <c r="L7" s="167"/>
      <c r="M7" s="167"/>
      <c r="N7" s="28">
        <f>G7+G10</f>
        <v>-929230.79017589719</v>
      </c>
    </row>
    <row r="8" spans="1:14" x14ac:dyDescent="0.2">
      <c r="B8" s="20" t="s">
        <v>33</v>
      </c>
      <c r="G8" s="28">
        <f>G6+G7</f>
        <v>702382.2360180798</v>
      </c>
      <c r="J8" s="20" t="str">
        <f>B8</f>
        <v>Gross Profit</v>
      </c>
      <c r="N8" s="28">
        <f>N6+N7</f>
        <v>450757.5014975766</v>
      </c>
    </row>
    <row r="9" spans="1:14" s="71" customFormat="1" x14ac:dyDescent="0.2">
      <c r="B9" s="71" t="s">
        <v>223</v>
      </c>
      <c r="G9" s="191">
        <f>G8/G6</f>
        <v>0.50897695310611668</v>
      </c>
      <c r="J9" s="71" t="s">
        <v>223</v>
      </c>
      <c r="N9" s="191">
        <f>N8/N6</f>
        <v>0.32663864194887871</v>
      </c>
    </row>
    <row r="10" spans="1:14" x14ac:dyDescent="0.2">
      <c r="B10" s="166" t="s">
        <v>224</v>
      </c>
      <c r="C10" s="167"/>
      <c r="D10" s="167"/>
      <c r="E10" s="167"/>
      <c r="F10" s="168"/>
      <c r="G10" s="28">
        <f>(-924117)*('2022 IR Data Book'!$A$5)</f>
        <v>-251624.73452050317</v>
      </c>
      <c r="N10" s="28"/>
    </row>
    <row r="11" spans="1:14" x14ac:dyDescent="0.2">
      <c r="B11" s="20" t="s">
        <v>225</v>
      </c>
      <c r="G11" s="28">
        <f>(-822351-193652)*('2022 IR Data Book'!$A$5)</f>
        <v>-276644.06687360449</v>
      </c>
      <c r="J11" s="20" t="str">
        <f>B11</f>
        <v>Less: SG&amp;A Expenses</v>
      </c>
      <c r="N11" s="28">
        <f>G11</f>
        <v>-276644.06687360449</v>
      </c>
    </row>
    <row r="12" spans="1:14" x14ac:dyDescent="0.2">
      <c r="B12" s="20" t="s">
        <v>226</v>
      </c>
      <c r="G12" s="28">
        <f>-24783*('2022 IR Data Book'!$A$5)</f>
        <v>-6748.0803790230348</v>
      </c>
      <c r="J12" s="20" t="str">
        <f>B12</f>
        <v xml:space="preserve">Net impairment loss on account receivables </v>
      </c>
      <c r="N12" s="28">
        <f>G12</f>
        <v>-6748.0803790230348</v>
      </c>
    </row>
    <row r="13" spans="1:14" x14ac:dyDescent="0.2">
      <c r="B13" s="20" t="s">
        <v>227</v>
      </c>
      <c r="G13" s="28"/>
      <c r="J13" s="20" t="str">
        <f>B13</f>
        <v xml:space="preserve">Net impairment loss on bank balances </v>
      </c>
      <c r="N13" s="28"/>
    </row>
    <row r="14" spans="1:14" x14ac:dyDescent="0.2">
      <c r="B14" s="20" t="s">
        <v>228</v>
      </c>
      <c r="G14" s="28">
        <f>(5012)*('2022 IR Data Book'!$A$5)</f>
        <v>1364.7007569569241</v>
      </c>
      <c r="J14" s="20" t="str">
        <f>B14</f>
        <v xml:space="preserve">Other income /Expense </v>
      </c>
      <c r="N14" s="28">
        <f>G14</f>
        <v>1364.7007569569241</v>
      </c>
    </row>
    <row r="15" spans="1:14" x14ac:dyDescent="0.2">
      <c r="B15" s="20" t="s">
        <v>229</v>
      </c>
      <c r="G15" s="28">
        <f>G8+G10+G11+G12+G14</f>
        <v>168730.05500190597</v>
      </c>
      <c r="J15" s="20" t="str">
        <f>B15</f>
        <v xml:space="preserve">Operating Profit </v>
      </c>
      <c r="N15" s="28">
        <f>N8+N10+N11+N12+N14</f>
        <v>168730.05500190597</v>
      </c>
    </row>
    <row r="16" spans="1:14" x14ac:dyDescent="0.2">
      <c r="G16" s="28"/>
    </row>
    <row r="18" spans="1:15" ht="13.5" thickBot="1" x14ac:dyDescent="0.25">
      <c r="A18" s="169"/>
      <c r="B18" s="169"/>
      <c r="C18" s="169"/>
      <c r="D18" s="169"/>
      <c r="E18" s="169"/>
      <c r="F18" s="169"/>
      <c r="G18" s="169"/>
      <c r="H18" s="169"/>
      <c r="I18" s="169"/>
      <c r="J18" s="169"/>
      <c r="K18" s="169"/>
      <c r="L18" s="169"/>
      <c r="M18" s="169"/>
      <c r="N18" s="169"/>
      <c r="O18" s="169"/>
    </row>
    <row r="21" spans="1:15" ht="15" x14ac:dyDescent="0.2">
      <c r="B21" s="165"/>
      <c r="C21" s="71" t="s">
        <v>230</v>
      </c>
      <c r="D21" s="71"/>
      <c r="E21" s="71"/>
      <c r="F21" s="71"/>
      <c r="G21" s="71"/>
      <c r="H21" s="71"/>
      <c r="I21" s="71"/>
      <c r="J21" s="71"/>
      <c r="K21" s="71"/>
      <c r="L21" s="71"/>
      <c r="M21" s="71"/>
    </row>
    <row r="22" spans="1:15" x14ac:dyDescent="0.2">
      <c r="B22" s="262" t="s">
        <v>219</v>
      </c>
      <c r="C22" s="262"/>
      <c r="D22" s="262"/>
      <c r="E22" s="262"/>
      <c r="F22" s="262"/>
      <c r="G22" s="262"/>
      <c r="I22" s="262" t="s">
        <v>220</v>
      </c>
      <c r="J22" s="262"/>
      <c r="K22" s="262"/>
      <c r="L22" s="262"/>
      <c r="M22" s="262"/>
      <c r="N22" s="262"/>
    </row>
    <row r="24" spans="1:15" x14ac:dyDescent="0.2">
      <c r="B24" s="20" t="s">
        <v>221</v>
      </c>
      <c r="G24" s="28">
        <f>5510299*('2022 IR Data Book'!$A$5)</f>
        <v>1500380.9290420956</v>
      </c>
      <c r="J24" s="20" t="str">
        <f>B24</f>
        <v xml:space="preserve">Total Revenues </v>
      </c>
      <c r="N24" s="28">
        <f>G24</f>
        <v>1500380.9290420956</v>
      </c>
    </row>
    <row r="25" spans="1:15" x14ac:dyDescent="0.2">
      <c r="B25" s="20" t="s">
        <v>222</v>
      </c>
      <c r="G25" s="28">
        <f>-2958821.53980779*('2022 IR Data Book'!$A$5)</f>
        <v>-805647.64466802531</v>
      </c>
      <c r="J25" s="166" t="s">
        <v>222</v>
      </c>
      <c r="K25" s="167"/>
      <c r="L25" s="167"/>
      <c r="M25" s="167"/>
      <c r="N25" s="28">
        <f>G25+G28</f>
        <v>-1082750.0953003322</v>
      </c>
    </row>
    <row r="26" spans="1:15" x14ac:dyDescent="0.2">
      <c r="B26" s="20" t="s">
        <v>33</v>
      </c>
      <c r="G26" s="28">
        <f>G24+G25</f>
        <v>694733.28437407024</v>
      </c>
      <c r="J26" s="20" t="str">
        <f>B26</f>
        <v>Gross Profit</v>
      </c>
      <c r="N26" s="28">
        <f>N24+N25</f>
        <v>417630.83374176337</v>
      </c>
    </row>
    <row r="27" spans="1:15" s="71" customFormat="1" x14ac:dyDescent="0.2">
      <c r="B27" s="71" t="s">
        <v>223</v>
      </c>
      <c r="G27" s="191">
        <f>G26/G24</f>
        <v>0.46303793318515207</v>
      </c>
      <c r="J27" s="71" t="s">
        <v>223</v>
      </c>
      <c r="N27" s="191">
        <f>N26/N24</f>
        <v>0.27834986812875312</v>
      </c>
    </row>
    <row r="28" spans="1:15" x14ac:dyDescent="0.2">
      <c r="B28" s="166" t="s">
        <v>224</v>
      </c>
      <c r="C28" s="167"/>
      <c r="D28" s="167"/>
      <c r="E28" s="167"/>
      <c r="F28" s="168"/>
      <c r="G28" s="28">
        <f>-1017686.46019221*('2022 IR Data Book'!$A$5)</f>
        <v>-277102.45063230681</v>
      </c>
      <c r="N28" s="28"/>
    </row>
    <row r="29" spans="1:15" x14ac:dyDescent="0.2">
      <c r="B29" s="20" t="s">
        <v>225</v>
      </c>
      <c r="G29" s="28">
        <f>(-220668-791926)*('2022 IR Data Book'!$A$5)</f>
        <v>-275715.84163807653</v>
      </c>
      <c r="J29" s="20" t="str">
        <f>B29</f>
        <v>Less: SG&amp;A Expenses</v>
      </c>
      <c r="N29" s="28">
        <f>G29</f>
        <v>-275715.84163807653</v>
      </c>
    </row>
    <row r="30" spans="1:15" x14ac:dyDescent="0.2">
      <c r="B30" s="20" t="s">
        <v>226</v>
      </c>
      <c r="G30" s="28">
        <f>-25319*('2022 IR Data Book'!$A$5)</f>
        <v>-6894.0260306050204</v>
      </c>
      <c r="J30" s="20" t="str">
        <f>B30</f>
        <v xml:space="preserve">Net impairment loss on account receivables </v>
      </c>
      <c r="N30" s="28">
        <f>G30</f>
        <v>-6894.0260306050204</v>
      </c>
    </row>
    <row r="31" spans="1:15" x14ac:dyDescent="0.2">
      <c r="B31" s="20" t="s">
        <v>227</v>
      </c>
      <c r="G31" s="28">
        <f>-21301*('2022 IR Data Book'!$A$5)</f>
        <v>-5799.9782170669278</v>
      </c>
      <c r="J31" s="20" t="str">
        <f>B31</f>
        <v xml:space="preserve">Net impairment loss on bank balances </v>
      </c>
      <c r="N31" s="28">
        <f>G31</f>
        <v>-5799.9782170669278</v>
      </c>
    </row>
    <row r="32" spans="1:15" x14ac:dyDescent="0.2">
      <c r="B32" s="20" t="s">
        <v>228</v>
      </c>
      <c r="G32" s="28">
        <f>(-89611+14582)*('2022 IR Data Book'!$A$5)</f>
        <v>-20429.39606818058</v>
      </c>
      <c r="J32" s="20" t="str">
        <f>B32</f>
        <v xml:space="preserve">Other income /Expense </v>
      </c>
      <c r="N32" s="28">
        <f>G32</f>
        <v>-20429.39606818058</v>
      </c>
    </row>
    <row r="33" spans="2:14" x14ac:dyDescent="0.2">
      <c r="B33" s="20" t="s">
        <v>229</v>
      </c>
      <c r="G33" s="28">
        <f>G26+G28+G29+G30+G32+G31</f>
        <v>108791.59178783439</v>
      </c>
      <c r="J33" s="20" t="str">
        <f>B33</f>
        <v xml:space="preserve">Operating Profit </v>
      </c>
      <c r="N33" s="28">
        <f>N26+N28+N29+N30+N32+N31</f>
        <v>108791.59178783433</v>
      </c>
    </row>
    <row r="34" spans="2:14" x14ac:dyDescent="0.2">
      <c r="G34" s="28"/>
    </row>
  </sheetData>
  <mergeCells count="4">
    <mergeCell ref="B22:G22"/>
    <mergeCell ref="I22:N22"/>
    <mergeCell ref="B4:G4"/>
    <mergeCell ref="I4:N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06245-B883-4CA8-9EF0-15ADEE571A91}">
  <dimension ref="A1:R97"/>
  <sheetViews>
    <sheetView showGridLines="0" workbookViewId="0">
      <selection activeCell="S29" sqref="S29"/>
    </sheetView>
  </sheetViews>
  <sheetFormatPr defaultColWidth="9.140625" defaultRowHeight="12.75" x14ac:dyDescent="0.2"/>
  <cols>
    <col min="1" max="1" width="3.42578125" style="20" customWidth="1"/>
    <col min="2" max="2" width="13.7109375" style="20" customWidth="1"/>
    <col min="3" max="9" width="15.140625" style="20" customWidth="1"/>
    <col min="10" max="10" width="9.140625" style="20"/>
    <col min="11" max="11" width="13.85546875" style="20" customWidth="1"/>
    <col min="12" max="16" width="13.5703125" style="20" customWidth="1"/>
    <col min="17" max="17" width="9.140625" style="20"/>
    <col min="18" max="18" width="9.42578125" style="20" bestFit="1" customWidth="1"/>
    <col min="19" max="16384" width="9.140625" style="20"/>
  </cols>
  <sheetData>
    <row r="1" spans="1:16" x14ac:dyDescent="0.2">
      <c r="A1" s="177">
        <f>'2022 IR Data Book'!$A$5</f>
        <v>0.27228666339922669</v>
      </c>
    </row>
    <row r="2" spans="1:16" ht="15" x14ac:dyDescent="0.25">
      <c r="C2" s="124" t="s">
        <v>231</v>
      </c>
      <c r="D2" s="124"/>
      <c r="E2" s="124"/>
    </row>
    <row r="3" spans="1:16" ht="15" x14ac:dyDescent="0.25">
      <c r="C3" s="124"/>
      <c r="D3" s="124"/>
      <c r="E3" s="124"/>
    </row>
    <row r="4" spans="1:16" x14ac:dyDescent="0.2">
      <c r="B4" s="125"/>
    </row>
    <row r="5" spans="1:16" x14ac:dyDescent="0.2">
      <c r="B5" s="126"/>
      <c r="C5" s="263" t="s">
        <v>22</v>
      </c>
      <c r="D5" s="263"/>
      <c r="E5" s="263"/>
      <c r="F5" s="263"/>
      <c r="G5" s="263"/>
      <c r="H5" s="263"/>
      <c r="I5" s="263"/>
      <c r="K5" s="126"/>
      <c r="L5" s="263" t="s">
        <v>232</v>
      </c>
      <c r="M5" s="263"/>
      <c r="N5" s="263"/>
      <c r="O5" s="263"/>
      <c r="P5" s="263"/>
    </row>
    <row r="6" spans="1:16" x14ac:dyDescent="0.2">
      <c r="B6" s="126"/>
      <c r="C6" s="138" t="s">
        <v>233</v>
      </c>
      <c r="D6" s="138" t="s">
        <v>285</v>
      </c>
      <c r="E6" s="138" t="s">
        <v>206</v>
      </c>
      <c r="F6" s="138" t="s">
        <v>234</v>
      </c>
      <c r="G6" s="138" t="s">
        <v>235</v>
      </c>
      <c r="H6" s="138" t="s">
        <v>236</v>
      </c>
      <c r="I6" s="138" t="s">
        <v>215</v>
      </c>
      <c r="K6" s="126"/>
      <c r="L6" s="138" t="s">
        <v>233</v>
      </c>
      <c r="M6" s="138" t="s">
        <v>234</v>
      </c>
      <c r="N6" s="138" t="s">
        <v>235</v>
      </c>
      <c r="O6" s="138" t="s">
        <v>236</v>
      </c>
      <c r="P6" s="138" t="s">
        <v>215</v>
      </c>
    </row>
    <row r="7" spans="1:16" x14ac:dyDescent="0.2">
      <c r="B7" s="59" t="s">
        <v>237</v>
      </c>
      <c r="C7" s="127">
        <f>'Aramex Courier'!C7</f>
        <v>272869.99621117738</v>
      </c>
      <c r="D7" s="127">
        <f>'Aramex Express+SNS'!C7</f>
        <v>176039.99451586505</v>
      </c>
      <c r="E7" s="127">
        <f>'Aramex Domestic'!C7</f>
        <v>96830.001696152583</v>
      </c>
      <c r="F7" s="127">
        <f>'Aramex Freight'!C7</f>
        <v>78494.956145721284</v>
      </c>
      <c r="G7" s="127">
        <f>'Aramex Logistics'!C7</f>
        <v>28477.302607920814</v>
      </c>
      <c r="H7" s="127">
        <f>29924.5277420579*('2022 IR Data Book'!$A$5)</f>
        <v>8148.0498126825405</v>
      </c>
      <c r="I7" s="127">
        <f>C7+F7+G7+H7</f>
        <v>387990.30477750208</v>
      </c>
      <c r="J7" s="90"/>
      <c r="K7" s="59" t="s">
        <v>237</v>
      </c>
      <c r="L7" s="127">
        <f>768414.063708547*('2022 IR Data Book'!$A$5)</f>
        <v>209228.90151624108</v>
      </c>
      <c r="M7" s="127">
        <f>262436.900433545*('2022 IR Data Book'!$A$5)</f>
        <v>71458.067971885044</v>
      </c>
      <c r="N7" s="127">
        <f>95044.3885739144*('2022 IR Data Book'!$A$5)</f>
        <v>25879.319439610739</v>
      </c>
      <c r="O7" s="127">
        <f>25748.7833390512*('2022 IR Data Book'!$A$5)</f>
        <v>7011.0503019798498</v>
      </c>
      <c r="P7" s="127">
        <f>SUM(L7:O7)</f>
        <v>313577.33922971674</v>
      </c>
    </row>
    <row r="8" spans="1:16" x14ac:dyDescent="0.2">
      <c r="B8" s="60" t="s">
        <v>179</v>
      </c>
      <c r="C8" s="128">
        <f>'Aramex Courier'!C10</f>
        <v>77632.834008042817</v>
      </c>
      <c r="D8" s="128">
        <f>'Aramex Express+SNS'!C10</f>
        <v>55110.830541414529</v>
      </c>
      <c r="E8" s="128">
        <f>'Aramex Domestic'!C10</f>
        <v>22522.003455075421</v>
      </c>
      <c r="F8" s="128">
        <f>'Aramex Freight'!C9</f>
        <v>10029.123907422269</v>
      </c>
      <c r="G8" s="128">
        <f>'Aramex Logistics'!C9</f>
        <v>4909.8155641331177</v>
      </c>
      <c r="H8" s="128">
        <f>18667.8494106557*('2022 IR Data Book'!$A$5)</f>
        <v>5083.0064288666608</v>
      </c>
      <c r="I8" s="128">
        <f>C8+F8+G8+H8</f>
        <v>97654.779908464858</v>
      </c>
      <c r="J8" s="90"/>
      <c r="K8" s="60" t="s">
        <v>179</v>
      </c>
      <c r="L8" s="128">
        <f>264108*('2022 IR Data Book'!$A$5)</f>
        <v>71913.086097042964</v>
      </c>
      <c r="M8" s="128">
        <f>51693*('2022 IR Data Book'!$A$5)</f>
        <v>14075.314491096226</v>
      </c>
      <c r="N8" s="128">
        <f>17857*('2022 IR Data Book'!$A$5)</f>
        <v>4862.2229483199908</v>
      </c>
      <c r="O8" s="128">
        <f>16690*('2022 IR Data Book'!$A$5)</f>
        <v>4544.4644121330939</v>
      </c>
      <c r="P8" s="128">
        <f>SUM(L8:O8)</f>
        <v>95395.087948592278</v>
      </c>
    </row>
    <row r="9" spans="1:16" x14ac:dyDescent="0.2">
      <c r="B9" s="61" t="s">
        <v>180</v>
      </c>
      <c r="C9" s="172">
        <f>C8/C7</f>
        <v>0.28450483778349095</v>
      </c>
      <c r="D9" s="172">
        <f>D8/D7</f>
        <v>0.3130585790631108</v>
      </c>
      <c r="E9" s="172">
        <f>E8/E7</f>
        <v>0.23259323619293404</v>
      </c>
      <c r="F9" s="172">
        <f t="shared" ref="F9:I9" si="0">F8/F7</f>
        <v>0.12776774967303361</v>
      </c>
      <c r="G9" s="172">
        <f t="shared" si="0"/>
        <v>0.17241153882206098</v>
      </c>
      <c r="H9" s="172">
        <f t="shared" si="0"/>
        <v>0.62383104493972263</v>
      </c>
      <c r="I9" s="173">
        <f t="shared" si="0"/>
        <v>0.25169386633118634</v>
      </c>
      <c r="J9" s="90"/>
      <c r="K9" s="61" t="s">
        <v>180</v>
      </c>
      <c r="L9" s="172">
        <f>L8/L7</f>
        <v>0.34370531784042663</v>
      </c>
      <c r="M9" s="172">
        <f t="shared" ref="M9:P9" si="1">M8/M7</f>
        <v>0.19697306253275856</v>
      </c>
      <c r="N9" s="172">
        <f t="shared" si="1"/>
        <v>0.18788063417455639</v>
      </c>
      <c r="O9" s="172">
        <f t="shared" si="1"/>
        <v>0.64818596592436128</v>
      </c>
      <c r="P9" s="173">
        <f t="shared" si="1"/>
        <v>0.3042155028897317</v>
      </c>
    </row>
    <row r="10" spans="1:16" x14ac:dyDescent="0.2">
      <c r="B10" s="60" t="s">
        <v>238</v>
      </c>
      <c r="C10" s="128">
        <f>'Aramex Courier'!C13</f>
        <v>18459.274220976989</v>
      </c>
      <c r="D10" s="128"/>
      <c r="E10" s="128"/>
      <c r="F10" s="128">
        <f>'Aramex Freight'!C12</f>
        <v>1040.930266204912</v>
      </c>
      <c r="G10" s="128">
        <f>'Aramex Logistics'!C12</f>
        <v>1552.6872568352394</v>
      </c>
      <c r="H10" s="128">
        <f>2138.62386501166*('2022 IR Data Book'!$A$5)</f>
        <v>582.3187564699831</v>
      </c>
      <c r="I10" s="128">
        <f>C10+F10+G10+H10</f>
        <v>21635.210500487126</v>
      </c>
      <c r="J10" s="90"/>
      <c r="K10" s="60" t="s">
        <v>238</v>
      </c>
      <c r="L10" s="128">
        <f>67870*('2022 IR Data Book'!$A$5)</f>
        <v>18480.095844905514</v>
      </c>
      <c r="M10" s="128">
        <f>23017*('2022 IR Data Book'!$A$5)</f>
        <v>6267.222131460001</v>
      </c>
      <c r="N10" s="128">
        <f>6653*('2022 IR Data Book'!$A$5)</f>
        <v>1811.5231715950551</v>
      </c>
      <c r="O10" s="128">
        <f>1967*('2022 IR Data Book'!$A$5)</f>
        <v>535.58786690627892</v>
      </c>
      <c r="P10" s="128">
        <f>SUM(L10:O10)</f>
        <v>27094.429014866848</v>
      </c>
    </row>
    <row r="11" spans="1:16" x14ac:dyDescent="0.2">
      <c r="B11" s="61" t="s">
        <v>182</v>
      </c>
      <c r="C11" s="172">
        <f>C10/C7</f>
        <v>6.7648603647471509E-2</v>
      </c>
      <c r="D11" s="172"/>
      <c r="E11" s="172"/>
      <c r="F11" s="172">
        <f t="shared" ref="F11:I11" si="2">F10/F7</f>
        <v>1.3261110233280289E-2</v>
      </c>
      <c r="G11" s="172">
        <f t="shared" si="2"/>
        <v>5.4523677267220086E-2</v>
      </c>
      <c r="H11" s="172">
        <f t="shared" si="2"/>
        <v>7.1467255338031527E-2</v>
      </c>
      <c r="I11" s="173">
        <f t="shared" si="2"/>
        <v>5.5762245174899694E-2</v>
      </c>
      <c r="J11" s="90"/>
      <c r="K11" s="61" t="s">
        <v>182</v>
      </c>
      <c r="L11" s="172">
        <f>L10/L7</f>
        <v>8.8324775931928431E-2</v>
      </c>
      <c r="M11" s="172">
        <f t="shared" ref="M11:P11" si="3">M10/M7</f>
        <v>8.7704891964414999E-2</v>
      </c>
      <c r="N11" s="172">
        <f t="shared" si="3"/>
        <v>6.9998872104122964E-2</v>
      </c>
      <c r="O11" s="172">
        <f t="shared" si="3"/>
        <v>7.6391958955854919E-2</v>
      </c>
      <c r="P11" s="173">
        <f t="shared" si="3"/>
        <v>8.6404295289393779E-2</v>
      </c>
    </row>
    <row r="12" spans="1:16" x14ac:dyDescent="0.2">
      <c r="B12" s="61" t="s">
        <v>183</v>
      </c>
      <c r="C12" s="171">
        <f>'Aramex Courier'!C15</f>
        <v>34572.725176407177</v>
      </c>
      <c r="D12" s="171"/>
      <c r="E12" s="171"/>
      <c r="F12" s="171">
        <f>'Aramex Freight'!C14</f>
        <v>3172.004430026956</v>
      </c>
      <c r="G12" s="171">
        <f>'Aramex Logistics'!C14</f>
        <v>7076.02872459628</v>
      </c>
      <c r="H12" s="171">
        <f>5237.50723887273*('2022 IR Data Book'!$A$5)</f>
        <v>1426.1033706019523</v>
      </c>
      <c r="I12" s="128">
        <f>C12+F12+G12+H12</f>
        <v>46246.86170163237</v>
      </c>
      <c r="J12" s="90"/>
      <c r="K12" s="61" t="s">
        <v>183</v>
      </c>
      <c r="L12" s="171">
        <f>122353.985142297*('2022 IR Data Book'!$A$5)</f>
        <v>33315.358367994602</v>
      </c>
      <c r="M12" s="171">
        <f>30232.6171423544*('2022 IR Data Book'!$A$5)</f>
        <v>8231.9384475179431</v>
      </c>
      <c r="N12" s="171">
        <f>25377.6620862351*('2022 IR Data Book'!$A$5)</f>
        <v>6909.9989343340139</v>
      </c>
      <c r="O12" s="171">
        <f>4921.08205567359*('2022 IR Data Book'!$A$5)</f>
        <v>1339.9450132531692</v>
      </c>
      <c r="P12" s="128">
        <f>SUM(L12:O12)</f>
        <v>49797.240763099726</v>
      </c>
    </row>
    <row r="13" spans="1:16" x14ac:dyDescent="0.2">
      <c r="B13" s="129" t="s">
        <v>184</v>
      </c>
      <c r="C13" s="174">
        <f>C12/C7</f>
        <v>0.12670035422161596</v>
      </c>
      <c r="D13" s="174"/>
      <c r="E13" s="174"/>
      <c r="F13" s="174">
        <f t="shared" ref="F13:I13" si="4">F12/F7</f>
        <v>4.0410296225127075E-2</v>
      </c>
      <c r="G13" s="174">
        <f t="shared" si="4"/>
        <v>0.24847959871831818</v>
      </c>
      <c r="H13" s="174">
        <f t="shared" si="4"/>
        <v>0.17502388956707221</v>
      </c>
      <c r="I13" s="174">
        <f t="shared" si="4"/>
        <v>0.11919592096032712</v>
      </c>
      <c r="J13" s="90"/>
      <c r="K13" s="129" t="s">
        <v>184</v>
      </c>
      <c r="L13" s="174">
        <f t="shared" ref="L13" si="5">L12/L7</f>
        <v>0.159229237101398</v>
      </c>
      <c r="M13" s="174">
        <f t="shared" ref="M13" si="6">M12/M7</f>
        <v>0.11519956641924288</v>
      </c>
      <c r="N13" s="174">
        <f t="shared" ref="N13" si="7">N12/N7</f>
        <v>0.26700852587945606</v>
      </c>
      <c r="O13" s="174">
        <f t="shared" ref="O13:P13" si="8">O12/O7</f>
        <v>0.19111901292090036</v>
      </c>
      <c r="P13" s="174">
        <f t="shared" si="8"/>
        <v>0.15880369699361424</v>
      </c>
    </row>
    <row r="14" spans="1:16" x14ac:dyDescent="0.2">
      <c r="C14" s="130"/>
      <c r="D14" s="130"/>
      <c r="E14" s="130"/>
      <c r="F14" s="130"/>
      <c r="G14" s="130"/>
      <c r="H14" s="130"/>
      <c r="I14" s="130"/>
      <c r="L14" s="130"/>
      <c r="M14" s="130"/>
      <c r="N14" s="130"/>
      <c r="O14" s="130"/>
      <c r="P14" s="130"/>
    </row>
    <row r="15" spans="1:16" x14ac:dyDescent="0.2">
      <c r="C15" s="130"/>
      <c r="D15" s="130"/>
      <c r="E15" s="130"/>
      <c r="F15" s="130"/>
      <c r="G15" s="130"/>
      <c r="H15" s="130"/>
      <c r="I15" s="130"/>
      <c r="L15" s="130"/>
      <c r="M15" s="130"/>
      <c r="N15" s="130"/>
      <c r="O15" s="130"/>
      <c r="P15" s="130"/>
    </row>
    <row r="16" spans="1:16" x14ac:dyDescent="0.2">
      <c r="C16" s="130"/>
      <c r="D16" s="130"/>
      <c r="E16" s="130"/>
      <c r="F16" s="130"/>
      <c r="G16" s="130"/>
      <c r="H16" s="130"/>
      <c r="I16" s="130"/>
      <c r="L16" s="130"/>
      <c r="M16" s="130"/>
      <c r="N16" s="130"/>
      <c r="O16" s="130"/>
      <c r="P16" s="130"/>
    </row>
    <row r="17" spans="2:16" x14ac:dyDescent="0.2">
      <c r="C17" s="130"/>
      <c r="D17" s="130"/>
      <c r="E17" s="130"/>
      <c r="F17" s="130"/>
      <c r="G17" s="130"/>
      <c r="H17" s="130"/>
      <c r="I17" s="130"/>
      <c r="L17" s="130"/>
      <c r="M17" s="130"/>
      <c r="N17" s="130"/>
      <c r="O17" s="130"/>
      <c r="P17" s="130"/>
    </row>
    <row r="18" spans="2:16" x14ac:dyDescent="0.2">
      <c r="B18" s="126"/>
      <c r="C18" s="263" t="s">
        <v>23</v>
      </c>
      <c r="D18" s="263"/>
      <c r="E18" s="263"/>
      <c r="F18" s="263"/>
      <c r="G18" s="263"/>
      <c r="H18" s="263"/>
      <c r="I18" s="263"/>
      <c r="K18" s="126"/>
      <c r="L18" s="263" t="s">
        <v>239</v>
      </c>
      <c r="M18" s="263"/>
      <c r="N18" s="263"/>
      <c r="O18" s="263"/>
      <c r="P18" s="263"/>
    </row>
    <row r="19" spans="2:16" x14ac:dyDescent="0.2">
      <c r="B19" s="126"/>
      <c r="C19" s="138" t="s">
        <v>233</v>
      </c>
      <c r="D19" s="138" t="s">
        <v>285</v>
      </c>
      <c r="E19" s="138" t="s">
        <v>206</v>
      </c>
      <c r="F19" s="138" t="s">
        <v>234</v>
      </c>
      <c r="G19" s="138" t="s">
        <v>235</v>
      </c>
      <c r="H19" s="138" t="s">
        <v>236</v>
      </c>
      <c r="I19" s="138" t="s">
        <v>215</v>
      </c>
      <c r="K19" s="126"/>
      <c r="L19" s="138" t="s">
        <v>233</v>
      </c>
      <c r="M19" s="138" t="s">
        <v>234</v>
      </c>
      <c r="N19" s="138" t="s">
        <v>235</v>
      </c>
      <c r="O19" s="138" t="s">
        <v>236</v>
      </c>
      <c r="P19" s="138" t="s">
        <v>215</v>
      </c>
    </row>
    <row r="20" spans="2:16" x14ac:dyDescent="0.2">
      <c r="B20" s="59" t="s">
        <v>237</v>
      </c>
      <c r="C20" s="127">
        <f>'Aramex Courier'!D7</f>
        <v>299728.17011568911</v>
      </c>
      <c r="D20" s="127">
        <f>'Aramex Express+SNS'!D7</f>
        <v>199737.43791727169</v>
      </c>
      <c r="E20" s="127">
        <f>'Aramex Domestic'!D7</f>
        <v>99990.732198416925</v>
      </c>
      <c r="F20" s="127">
        <f>'Aramex Freight'!D7</f>
        <v>89472.005469589654</v>
      </c>
      <c r="G20" s="127">
        <f>'Aramex Logistics'!D7</f>
        <v>29627.234527230841</v>
      </c>
      <c r="H20" s="127">
        <f>32737.7270639149*('2022 IR Data Book'!$A$5)</f>
        <v>8914.04646950795</v>
      </c>
      <c r="I20" s="127">
        <f>C20+F20+G20+H20</f>
        <v>427741.45658201759</v>
      </c>
      <c r="J20" s="28"/>
      <c r="K20" s="59" t="s">
        <v>237</v>
      </c>
      <c r="L20" s="127">
        <f>918423.610580826*('2022 IR Data Book'!$A$5)</f>
        <v>250074.50051212381</v>
      </c>
      <c r="M20" s="127">
        <f>267575.35078716*('2022 IR Data Book'!$A$5)</f>
        <v>72857.199473713437</v>
      </c>
      <c r="N20" s="127">
        <f>85013.8082673105*('2022 IR Data Book'!$A$5)</f>
        <v>23148.126195967568</v>
      </c>
      <c r="O20" s="127">
        <f>22763.1096013526*('2022 IR Data Book'!$A$5)</f>
        <v>6198.0911619432009</v>
      </c>
      <c r="P20" s="127">
        <f>SUM(L20:O20)</f>
        <v>352277.91734374798</v>
      </c>
    </row>
    <row r="21" spans="2:16" x14ac:dyDescent="0.2">
      <c r="B21" s="60" t="s">
        <v>179</v>
      </c>
      <c r="C21" s="128">
        <f>'Aramex Courier'!D10</f>
        <v>88575.219637157279</v>
      </c>
      <c r="D21" s="128">
        <f>'Aramex Express+SNS'!D10</f>
        <v>64029.434303902701</v>
      </c>
      <c r="E21" s="128">
        <f>'Aramex Domestic'!D10</f>
        <v>24545.785357897665</v>
      </c>
      <c r="F21" s="128">
        <f>'Aramex Freight'!D9</f>
        <v>9245.0441605478409</v>
      </c>
      <c r="G21" s="128">
        <f>'Aramex Logistics'!D9</f>
        <v>1882.8131466358973</v>
      </c>
      <c r="H21" s="128">
        <f>22494.6156898403*('2022 IR Data Book'!$A$5)</f>
        <v>6124.9838506345086</v>
      </c>
      <c r="I21" s="128">
        <f>C21+F21+G21+H21</f>
        <v>105828.06079497552</v>
      </c>
      <c r="J21" s="28"/>
      <c r="K21" s="60" t="s">
        <v>179</v>
      </c>
      <c r="L21" s="128">
        <f>311978*('2022 IR Data Book'!$A$5)</f>
        <v>84947.44867396394</v>
      </c>
      <c r="M21" s="128">
        <f>30987*('2022 IR Data Book'!$A$5)</f>
        <v>8437.3468387518369</v>
      </c>
      <c r="N21" s="128">
        <f>11371*('2022 IR Data Book'!$A$5)</f>
        <v>3096.1716495126066</v>
      </c>
      <c r="O21" s="128">
        <f>14079*('2022 IR Data Book'!$A$5)</f>
        <v>3833.5239339977124</v>
      </c>
      <c r="P21" s="128">
        <f>SUM(L21:O21)</f>
        <v>100314.49109622609</v>
      </c>
    </row>
    <row r="22" spans="2:16" x14ac:dyDescent="0.2">
      <c r="B22" s="61" t="s">
        <v>180</v>
      </c>
      <c r="C22" s="172">
        <f>C21/C20</f>
        <v>0.2955185013239463</v>
      </c>
      <c r="D22" s="172">
        <f t="shared" ref="D22:E22" si="9">D21/D20</f>
        <v>0.32056801654992068</v>
      </c>
      <c r="E22" s="172">
        <f t="shared" si="9"/>
        <v>0.24548060423430201</v>
      </c>
      <c r="F22" s="172">
        <f t="shared" ref="F22:I22" si="10">F21/F20</f>
        <v>0.10332890284537222</v>
      </c>
      <c r="G22" s="172">
        <f t="shared" si="10"/>
        <v>6.3550080751052729E-2</v>
      </c>
      <c r="H22" s="172">
        <f t="shared" si="10"/>
        <v>0.68711598841065991</v>
      </c>
      <c r="I22" s="173">
        <f t="shared" si="10"/>
        <v>0.24741127886135453</v>
      </c>
      <c r="J22" s="28"/>
      <c r="K22" s="61" t="s">
        <v>180</v>
      </c>
      <c r="L22" s="172">
        <f>L21/L20</f>
        <v>0.33968856680709686</v>
      </c>
      <c r="M22" s="172">
        <f t="shared" ref="M22:P22" si="11">M21/M20</f>
        <v>0.11580663132400519</v>
      </c>
      <c r="N22" s="172">
        <f t="shared" si="11"/>
        <v>0.13375474210314109</v>
      </c>
      <c r="O22" s="172">
        <f t="shared" si="11"/>
        <v>0.61850073415116424</v>
      </c>
      <c r="P22" s="173">
        <f t="shared" si="11"/>
        <v>0.28475952126837567</v>
      </c>
    </row>
    <row r="23" spans="2:16" x14ac:dyDescent="0.2">
      <c r="B23" s="60" t="s">
        <v>238</v>
      </c>
      <c r="C23" s="128">
        <f>'Aramex Courier'!D13</f>
        <v>28488.472398804388</v>
      </c>
      <c r="D23" s="128"/>
      <c r="E23" s="128"/>
      <c r="F23" s="128">
        <f>'Aramex Freight'!D12</f>
        <v>46.782688670048735</v>
      </c>
      <c r="G23" s="128">
        <f>'Aramex Logistics'!D12</f>
        <v>-1385.5008681730571</v>
      </c>
      <c r="H23" s="128">
        <f>-159.111807897699*('2022 IR Data Book'!$A$5)</f>
        <v>-43.324023279883193</v>
      </c>
      <c r="I23" s="128">
        <f>C23+F23+G23+H23</f>
        <v>27106.430196021498</v>
      </c>
      <c r="J23" s="28"/>
      <c r="K23" s="60" t="s">
        <v>238</v>
      </c>
      <c r="L23" s="128">
        <f>126244*('2022 IR Data Book'!$A$5)</f>
        <v>34374.557534171974</v>
      </c>
      <c r="M23" s="128">
        <f>3953*('2022 IR Data Book'!$A$5)</f>
        <v>1076.3491804171431</v>
      </c>
      <c r="N23" s="128">
        <f>1270*('2022 IR Data Book'!$A$5)</f>
        <v>345.80406251701788</v>
      </c>
      <c r="O23" s="128">
        <f>-4745*('2022 IR Data Book'!$A$5)</f>
        <v>-1292.0002178293307</v>
      </c>
      <c r="P23" s="128">
        <f>SUM(L23:O23)</f>
        <v>34504.710559276806</v>
      </c>
    </row>
    <row r="24" spans="2:16" x14ac:dyDescent="0.2">
      <c r="B24" s="61" t="s">
        <v>182</v>
      </c>
      <c r="C24" s="172">
        <f>C23/C20</f>
        <v>9.5047697344591953E-2</v>
      </c>
      <c r="D24" s="172"/>
      <c r="E24" s="172"/>
      <c r="F24" s="172">
        <f t="shared" ref="F24:I24" si="12">F23/F20</f>
        <v>5.2287515435148646E-4</v>
      </c>
      <c r="G24" s="172">
        <f t="shared" si="12"/>
        <v>-4.6764434490152031E-2</v>
      </c>
      <c r="H24" s="172">
        <f t="shared" si="12"/>
        <v>-4.860197153793237E-3</v>
      </c>
      <c r="I24" s="173">
        <f t="shared" si="12"/>
        <v>6.3371061604883178E-2</v>
      </c>
      <c r="J24" s="28"/>
      <c r="K24" s="61" t="s">
        <v>182</v>
      </c>
      <c r="L24" s="172">
        <f>L23/L20</f>
        <v>0.13745726758936572</v>
      </c>
      <c r="M24" s="172">
        <f t="shared" ref="M24:P24" si="13">M23/M20</f>
        <v>1.4773408643101706E-2</v>
      </c>
      <c r="N24" s="172">
        <f t="shared" si="13"/>
        <v>1.4938749667662404E-2</v>
      </c>
      <c r="O24" s="172">
        <f t="shared" si="13"/>
        <v>-0.20845130929379038</v>
      </c>
      <c r="P24" s="173">
        <f t="shared" si="13"/>
        <v>9.7947412711673273E-2</v>
      </c>
    </row>
    <row r="25" spans="2:16" x14ac:dyDescent="0.2">
      <c r="B25" s="61" t="s">
        <v>183</v>
      </c>
      <c r="C25" s="171">
        <f>'Aramex Courier'!D15</f>
        <v>44773.075117149434</v>
      </c>
      <c r="D25" s="171"/>
      <c r="E25" s="171"/>
      <c r="F25" s="171">
        <f>'Aramex Freight'!D14</f>
        <v>2103.6559215621305</v>
      </c>
      <c r="G25" s="171">
        <f>'Aramex Logistics'!D14</f>
        <v>4679.2517905614004</v>
      </c>
      <c r="H25" s="171">
        <f>3366.65007097598*('2022 IR Data Book'!$A$5)</f>
        <v>916.69391465881927</v>
      </c>
      <c r="I25" s="128">
        <f>C25+F25+G25+H25</f>
        <v>52472.676743931785</v>
      </c>
      <c r="J25" s="28"/>
      <c r="K25" s="61" t="s">
        <v>183</v>
      </c>
      <c r="L25" s="171">
        <f>179449.986513259*('2022 IR Data Book'!$A$5)</f>
        <v>48861.838074731524</v>
      </c>
      <c r="M25" s="171">
        <f>10653.4667073961*('2022 IR Data Book'!$A$5)</f>
        <v>2900.7969033916302</v>
      </c>
      <c r="N25" s="171">
        <f>21000.470435179*('2022 IR Data Book'!$A$5)</f>
        <v>5718.1480246089959</v>
      </c>
      <c r="O25" s="171">
        <f>-1714.19742397212*('2022 IR Data Book'!$A$5)</f>
        <v>-466.75309698091814</v>
      </c>
      <c r="P25" s="128">
        <f>SUM(L25:O25)</f>
        <v>57014.029905751231</v>
      </c>
    </row>
    <row r="26" spans="2:16" x14ac:dyDescent="0.2">
      <c r="B26" s="129" t="s">
        <v>184</v>
      </c>
      <c r="C26" s="174">
        <f>C25/C20</f>
        <v>0.14937893592006357</v>
      </c>
      <c r="D26" s="174"/>
      <c r="E26" s="174"/>
      <c r="F26" s="174">
        <f t="shared" ref="F26:I26" si="14">F25/F20</f>
        <v>2.3511889674554521E-2</v>
      </c>
      <c r="G26" s="174">
        <f t="shared" si="14"/>
        <v>0.15793751476401313</v>
      </c>
      <c r="H26" s="174">
        <f t="shared" si="14"/>
        <v>0.10283701322340316</v>
      </c>
      <c r="I26" s="174">
        <f t="shared" si="14"/>
        <v>0.12267381600845691</v>
      </c>
      <c r="J26" s="28"/>
      <c r="K26" s="129" t="s">
        <v>184</v>
      </c>
      <c r="L26" s="174">
        <f>L25/L20</f>
        <v>0.19538912593914254</v>
      </c>
      <c r="M26" s="174">
        <f t="shared" ref="M26:P26" si="15">M25/M20</f>
        <v>3.9814828518604059E-2</v>
      </c>
      <c r="N26" s="174">
        <f t="shared" si="15"/>
        <v>0.24702422892463341</v>
      </c>
      <c r="O26" s="174">
        <f t="shared" si="15"/>
        <v>-7.5305942553220456E-2</v>
      </c>
      <c r="P26" s="174">
        <f t="shared" si="15"/>
        <v>0.16184389397907595</v>
      </c>
    </row>
    <row r="27" spans="2:16" x14ac:dyDescent="0.2">
      <c r="C27" s="130"/>
      <c r="D27" s="130"/>
      <c r="E27" s="130"/>
      <c r="F27" s="130"/>
      <c r="G27" s="130"/>
      <c r="H27" s="130"/>
      <c r="I27" s="130"/>
      <c r="L27" s="130"/>
      <c r="M27" s="130"/>
      <c r="N27" s="130"/>
      <c r="O27" s="130"/>
      <c r="P27" s="130"/>
    </row>
    <row r="28" spans="2:16" x14ac:dyDescent="0.2">
      <c r="C28" s="130"/>
      <c r="D28" s="130"/>
      <c r="E28" s="130"/>
      <c r="F28" s="130"/>
      <c r="G28" s="130"/>
      <c r="H28" s="130"/>
      <c r="I28" s="130"/>
      <c r="L28" s="130"/>
      <c r="M28" s="130"/>
      <c r="N28" s="130"/>
      <c r="O28" s="130"/>
      <c r="P28" s="130"/>
    </row>
    <row r="29" spans="2:16" x14ac:dyDescent="0.2">
      <c r="C29" s="130"/>
      <c r="D29" s="130"/>
      <c r="E29" s="130"/>
      <c r="F29" s="130"/>
      <c r="G29" s="130"/>
      <c r="H29" s="130"/>
      <c r="I29" s="130"/>
      <c r="L29" s="130"/>
      <c r="M29" s="130"/>
      <c r="N29" s="130"/>
      <c r="O29" s="130"/>
      <c r="P29" s="130"/>
    </row>
    <row r="31" spans="2:16" x14ac:dyDescent="0.2">
      <c r="B31" s="126"/>
      <c r="C31" s="263" t="s">
        <v>24</v>
      </c>
      <c r="D31" s="263"/>
      <c r="E31" s="263"/>
      <c r="F31" s="263"/>
      <c r="G31" s="263"/>
      <c r="H31" s="263"/>
      <c r="I31" s="263"/>
      <c r="K31" s="126"/>
      <c r="L31" s="263" t="s">
        <v>240</v>
      </c>
      <c r="M31" s="263"/>
      <c r="N31" s="263"/>
      <c r="O31" s="263"/>
      <c r="P31" s="263"/>
    </row>
    <row r="32" spans="2:16" x14ac:dyDescent="0.2">
      <c r="B32" s="126"/>
      <c r="C32" s="138" t="s">
        <v>233</v>
      </c>
      <c r="D32" s="138" t="s">
        <v>285</v>
      </c>
      <c r="E32" s="138" t="s">
        <v>206</v>
      </c>
      <c r="F32" s="138" t="s">
        <v>234</v>
      </c>
      <c r="G32" s="138" t="s">
        <v>235</v>
      </c>
      <c r="H32" s="138" t="s">
        <v>236</v>
      </c>
      <c r="I32" s="138" t="s">
        <v>215</v>
      </c>
      <c r="K32" s="126"/>
      <c r="L32" s="138" t="s">
        <v>233</v>
      </c>
      <c r="M32" s="138" t="s">
        <v>234</v>
      </c>
      <c r="N32" s="138" t="s">
        <v>235</v>
      </c>
      <c r="O32" s="138" t="s">
        <v>236</v>
      </c>
      <c r="P32" s="138" t="s">
        <v>215</v>
      </c>
    </row>
    <row r="33" spans="2:18" x14ac:dyDescent="0.2">
      <c r="B33" s="59" t="s">
        <v>237</v>
      </c>
      <c r="C33" s="127">
        <f>'Aramex Courier'!E7</f>
        <v>291251.90801540873</v>
      </c>
      <c r="D33" s="127">
        <f>'Aramex Express+SNS'!E7</f>
        <v>165789.03939558187</v>
      </c>
      <c r="E33" s="127">
        <f>'Aramex Domestic'!E7</f>
        <v>125462.86861982736</v>
      </c>
      <c r="F33" s="127">
        <f>'Aramex Freight'!E7</f>
        <v>86587.146988338238</v>
      </c>
      <c r="G33" s="127">
        <f>'Aramex Logistics'!E7</f>
        <v>29528.129983085277</v>
      </c>
      <c r="H33" s="127">
        <f>-34692.5657379868*('2022 IR Data Book'!$A$5)</f>
        <v>-9446.3229695547561</v>
      </c>
      <c r="I33" s="127">
        <f>C33+F33+G33+H33</f>
        <v>397920.86201727751</v>
      </c>
      <c r="J33" s="90"/>
      <c r="K33" s="59" t="s">
        <v>237</v>
      </c>
      <c r="L33" s="127">
        <f>1065472.5562529*('2022 IR Data Book'!$A$5)</f>
        <v>290113.967285547</v>
      </c>
      <c r="M33" s="127">
        <f>274871.806204384*('2022 IR Data Book'!$A$5)</f>
        <v>74843.92697391058</v>
      </c>
      <c r="N33" s="127">
        <f>94045.7817679466*('2022 IR Data Book'!$A$5)</f>
        <v>25607.412124366005</v>
      </c>
      <c r="O33" s="127">
        <f>32143.5876797614*('2022 IR Data Book'!$A$5)</f>
        <v>8752.2702390027225</v>
      </c>
      <c r="P33" s="127">
        <f>SUM(L33:O33)</f>
        <v>399317.57662282634</v>
      </c>
    </row>
    <row r="34" spans="2:18" x14ac:dyDescent="0.2">
      <c r="B34" s="60" t="s">
        <v>179</v>
      </c>
      <c r="C34" s="128">
        <f>'Aramex Courier'!E10</f>
        <v>87713.988392019586</v>
      </c>
      <c r="D34" s="128">
        <f>'Aramex Express+SNS'!E10</f>
        <v>53047.345390897186</v>
      </c>
      <c r="E34" s="128">
        <f>'Aramex Domestic'!E10</f>
        <v>34665.662593441972</v>
      </c>
      <c r="F34" s="128">
        <f>'Aramex Freight'!E9</f>
        <v>10404.268778629601</v>
      </c>
      <c r="G34" s="128">
        <f>'Aramex Logistics'!E9</f>
        <v>3721.5625675601477</v>
      </c>
      <c r="H34" s="128">
        <f>-17937.2596997755*('2022 IR Data Book'!$A$5)</f>
        <v>-4884.0765941772852</v>
      </c>
      <c r="I34" s="128">
        <f>C34+F34+G34+H34</f>
        <v>96955.743144032051</v>
      </c>
      <c r="J34" s="90"/>
      <c r="K34" s="60" t="s">
        <v>179</v>
      </c>
      <c r="L34" s="128">
        <f>343301*('2022 IR Data Book'!$A$5)</f>
        <v>93476.283831617926</v>
      </c>
      <c r="M34" s="128">
        <f>33865*('2022 IR Data Book'!$A$5)</f>
        <v>9220.9878560148118</v>
      </c>
      <c r="N34" s="128">
        <f>11665*('2022 IR Data Book'!$A$5)</f>
        <v>3176.2239285519795</v>
      </c>
      <c r="O34" s="128">
        <f>19225*('2022 IR Data Book'!$A$5)</f>
        <v>5234.7111038501334</v>
      </c>
      <c r="P34" s="128">
        <f>SUM(L34:O34)</f>
        <v>111108.20672003484</v>
      </c>
    </row>
    <row r="35" spans="2:18" x14ac:dyDescent="0.2">
      <c r="B35" s="61" t="s">
        <v>180</v>
      </c>
      <c r="C35" s="172">
        <f>C34/C33</f>
        <v>0.30116193569238031</v>
      </c>
      <c r="D35" s="172">
        <f t="shared" ref="D35:E35" si="16">D34/D33</f>
        <v>0.31996895322086566</v>
      </c>
      <c r="E35" s="172">
        <f t="shared" si="16"/>
        <v>0.27630216792256279</v>
      </c>
      <c r="F35" s="172">
        <f t="shared" ref="F35:I35" si="17">F34/F33</f>
        <v>0.12015950566001295</v>
      </c>
      <c r="G35" s="172">
        <f t="shared" si="17"/>
        <v>0.12603448202415751</v>
      </c>
      <c r="H35" s="172">
        <f t="shared" si="17"/>
        <v>0.51703468216347592</v>
      </c>
      <c r="I35" s="173">
        <f t="shared" si="17"/>
        <v>0.24365584315562294</v>
      </c>
      <c r="J35" s="90"/>
      <c r="K35" s="61" t="s">
        <v>180</v>
      </c>
      <c r="L35" s="172">
        <f>L34/L33</f>
        <v>0.32220538951029937</v>
      </c>
      <c r="M35" s="172">
        <f t="shared" ref="M35:P35" si="18">M34/M33</f>
        <v>0.12320288671155782</v>
      </c>
      <c r="N35" s="172">
        <f t="shared" si="18"/>
        <v>0.12403533450104995</v>
      </c>
      <c r="O35" s="172">
        <f t="shared" si="18"/>
        <v>0.59809751766149788</v>
      </c>
      <c r="P35" s="173">
        <f t="shared" si="18"/>
        <v>0.27824521940586056</v>
      </c>
    </row>
    <row r="36" spans="2:18" x14ac:dyDescent="0.2">
      <c r="B36" s="61" t="s">
        <v>238</v>
      </c>
      <c r="C36" s="128">
        <f>'Aramex Courier'!E13</f>
        <v>11551.334738508222</v>
      </c>
      <c r="D36" s="128"/>
      <c r="E36" s="128"/>
      <c r="F36" s="128">
        <f>'Aramex Freight'!E12</f>
        <v>1535.7160650360372</v>
      </c>
      <c r="G36" s="128">
        <f>'Aramex Logistics'!E12</f>
        <v>1583.7290523495126</v>
      </c>
      <c r="H36" s="128">
        <f>14139.974323889*('2022 IR Data Book'!$A$5)</f>
        <v>3850.1264292024721</v>
      </c>
      <c r="I36" s="128">
        <f>C36+F36+G36+H36</f>
        <v>18520.906285096244</v>
      </c>
      <c r="J36" s="90"/>
      <c r="K36" s="61" t="s">
        <v>238</v>
      </c>
      <c r="L36" s="128">
        <f>135940*('2022 IR Data Book'!$A$5)</f>
        <v>37014.649022490878</v>
      </c>
      <c r="M36" s="128">
        <f>3055*('2022 IR Data Book'!$A$5)</f>
        <v>831.83575668463754</v>
      </c>
      <c r="N36" s="128">
        <f>-53234*('2022 IR Data Book'!$A$5)</f>
        <v>-14494.908239394434</v>
      </c>
      <c r="O36" s="128">
        <f>-1607*('2022 IR Data Book'!$A$5)</f>
        <v>-437.56466808255732</v>
      </c>
      <c r="P36" s="128">
        <f>SUM(L36:O36)</f>
        <v>22914.011871698527</v>
      </c>
    </row>
    <row r="37" spans="2:18" x14ac:dyDescent="0.2">
      <c r="B37" s="61" t="s">
        <v>182</v>
      </c>
      <c r="C37" s="172">
        <f>C36/C33</f>
        <v>3.9660975329634911E-2</v>
      </c>
      <c r="D37" s="172"/>
      <c r="E37" s="172"/>
      <c r="F37" s="172">
        <f t="shared" ref="F37:I37" si="19">F36/F33</f>
        <v>1.7736074214835501E-2</v>
      </c>
      <c r="G37" s="172">
        <f t="shared" si="19"/>
        <v>5.3634586858589649E-2</v>
      </c>
      <c r="H37" s="172">
        <f t="shared" si="19"/>
        <v>-0.40757937682327033</v>
      </c>
      <c r="I37" s="173">
        <f t="shared" si="19"/>
        <v>4.6544195223149863E-2</v>
      </c>
      <c r="J37" s="90"/>
      <c r="K37" s="61" t="s">
        <v>182</v>
      </c>
      <c r="L37" s="172">
        <f>L36/L33</f>
        <v>0.12758658043533255</v>
      </c>
      <c r="M37" s="172">
        <f t="shared" ref="M37:P37" si="20">M36/M33</f>
        <v>1.1114271929833431E-2</v>
      </c>
      <c r="N37" s="172">
        <f t="shared" si="20"/>
        <v>-0.56604346308005937</v>
      </c>
      <c r="O37" s="172">
        <f t="shared" si="20"/>
        <v>-4.9994419291652908E-2</v>
      </c>
      <c r="P37" s="173">
        <f t="shared" si="20"/>
        <v>5.7382928308567435E-2</v>
      </c>
    </row>
    <row r="38" spans="2:18" x14ac:dyDescent="0.2">
      <c r="B38" s="61" t="s">
        <v>183</v>
      </c>
      <c r="C38" s="171">
        <f>'Aramex Courier'!E15</f>
        <v>30869.822139541466</v>
      </c>
      <c r="D38" s="171"/>
      <c r="E38" s="171"/>
      <c r="F38" s="171">
        <f>'Aramex Freight'!E14</f>
        <v>3353.7117493265259</v>
      </c>
      <c r="G38" s="171">
        <f>'Aramex Logistics'!E14</f>
        <v>7874.2526350672279</v>
      </c>
      <c r="H38" s="171">
        <f>8523.57514388524*('2022 IR Data Book'!$A$5)</f>
        <v>2320.8558361610958</v>
      </c>
      <c r="I38" s="128">
        <f>C38+F38+G38+H38</f>
        <v>44418.642360096317</v>
      </c>
      <c r="J38" s="90"/>
      <c r="K38" s="61" t="s">
        <v>183</v>
      </c>
      <c r="L38" s="171">
        <f>190817.974518227*('2022 IR Data Book'!$A$5)</f>
        <v>51957.189598166697</v>
      </c>
      <c r="M38" s="171">
        <f>8915.85774876994*('2022 IR Data Book'!$A$5)</f>
        <v>2427.6691577547076</v>
      </c>
      <c r="N38" s="171">
        <f>-32546.2048357356*('2022 IR Data Book'!$A$5)</f>
        <v>-8861.8975210302233</v>
      </c>
      <c r="O38" s="171">
        <f>2291.72712826686*('2022 IR Data Book'!$A$5)</f>
        <v>624.0067331772749</v>
      </c>
      <c r="P38" s="128">
        <f>SUM(L38:O38)</f>
        <v>46146.967968068457</v>
      </c>
    </row>
    <row r="39" spans="2:18" x14ac:dyDescent="0.2">
      <c r="B39" s="129" t="s">
        <v>184</v>
      </c>
      <c r="C39" s="174">
        <f>C38/C33</f>
        <v>0.10599011127476732</v>
      </c>
      <c r="D39" s="174"/>
      <c r="E39" s="174"/>
      <c r="F39" s="174">
        <f t="shared" ref="F39:I39" si="21">F38/F33</f>
        <v>3.873221218130922E-2</v>
      </c>
      <c r="G39" s="174">
        <f t="shared" si="21"/>
        <v>0.26666953307161234</v>
      </c>
      <c r="H39" s="174">
        <f t="shared" si="21"/>
        <v>-0.24568880861274292</v>
      </c>
      <c r="I39" s="174">
        <f t="shared" si="21"/>
        <v>0.11162682482872105</v>
      </c>
      <c r="J39" s="90"/>
      <c r="K39" s="129" t="s">
        <v>184</v>
      </c>
      <c r="L39" s="174">
        <f>L38/L33</f>
        <v>0.17909234113856853</v>
      </c>
      <c r="M39" s="174">
        <f t="shared" ref="M39:P39" si="22">M38/M33</f>
        <v>3.2436421442730484E-2</v>
      </c>
      <c r="N39" s="174">
        <f t="shared" si="22"/>
        <v>-0.34606767282813156</v>
      </c>
      <c r="O39" s="174">
        <f t="shared" si="22"/>
        <v>7.129655690891662E-2</v>
      </c>
      <c r="P39" s="174">
        <f t="shared" si="22"/>
        <v>0.11556457984732381</v>
      </c>
    </row>
    <row r="42" spans="2:18" x14ac:dyDescent="0.2">
      <c r="B42" s="126"/>
      <c r="C42" s="263" t="s">
        <v>25</v>
      </c>
      <c r="D42" s="263"/>
      <c r="E42" s="263"/>
      <c r="F42" s="263"/>
      <c r="G42" s="263"/>
      <c r="H42" s="263"/>
      <c r="I42" s="263"/>
      <c r="K42" s="126"/>
      <c r="L42" s="263" t="s">
        <v>241</v>
      </c>
      <c r="M42" s="263"/>
      <c r="N42" s="263"/>
      <c r="O42" s="263"/>
      <c r="P42" s="263"/>
    </row>
    <row r="43" spans="2:18" x14ac:dyDescent="0.2">
      <c r="B43" s="126"/>
      <c r="C43" s="138" t="s">
        <v>233</v>
      </c>
      <c r="D43" s="138" t="s">
        <v>285</v>
      </c>
      <c r="E43" s="138" t="s">
        <v>206</v>
      </c>
      <c r="F43" s="138" t="s">
        <v>234</v>
      </c>
      <c r="G43" s="138" t="s">
        <v>235</v>
      </c>
      <c r="H43" s="138" t="s">
        <v>236</v>
      </c>
      <c r="I43" s="138" t="s">
        <v>215</v>
      </c>
      <c r="K43" s="126"/>
      <c r="L43" s="138" t="s">
        <v>233</v>
      </c>
      <c r="M43" s="138" t="s">
        <v>234</v>
      </c>
      <c r="N43" s="138" t="s">
        <v>235</v>
      </c>
      <c r="O43" s="138" t="s">
        <v>236</v>
      </c>
      <c r="P43" s="138" t="s">
        <v>215</v>
      </c>
    </row>
    <row r="44" spans="2:18" x14ac:dyDescent="0.2">
      <c r="B44" s="59" t="s">
        <v>237</v>
      </c>
      <c r="C44" s="127">
        <f>'Aramex Courier'!F7</f>
        <v>298740.34110140498</v>
      </c>
      <c r="D44" s="127">
        <f>'Aramex Express+SNS'!F7</f>
        <v>183302.44483557099</v>
      </c>
      <c r="E44" s="127">
        <f>'Aramex Domestic'!F7</f>
        <v>115437.89626583483</v>
      </c>
      <c r="F44" s="127">
        <f>'Aramex Freight'!F7</f>
        <v>106375.87104304251</v>
      </c>
      <c r="G44" s="127">
        <f>'Aramex Logistics'!F7</f>
        <v>30772.860588623316</v>
      </c>
      <c r="H44" s="127">
        <f>10698.3087688035*('2022 IR Data Book'!$A$5)</f>
        <v>2913.0067986721938</v>
      </c>
      <c r="I44" s="128">
        <f>C44+F44+G44+H44</f>
        <v>438802.07953174302</v>
      </c>
      <c r="J44" s="90"/>
      <c r="K44" s="59" t="s">
        <v>237</v>
      </c>
      <c r="L44" s="127">
        <f>1183088.24381891*('2022 IR Data Book'!$A$5)</f>
        <v>322139.1504163018</v>
      </c>
      <c r="M44" s="127">
        <f>279847.239544934*('2022 IR Data Book'!$A$5)</f>
        <v>76198.671117174206</v>
      </c>
      <c r="N44" s="127">
        <f>100758.250635899*('2022 IR Data Book'!$A$5)</f>
        <v>27435.127875591952</v>
      </c>
      <c r="O44" s="127">
        <f>34652.0164646013*('2022 IR Data Book'!$A$5)</f>
        <v>9435.2819432013548</v>
      </c>
      <c r="P44" s="127">
        <f>SUM(L44:O44)</f>
        <v>435208.23135226936</v>
      </c>
      <c r="R44" s="28"/>
    </row>
    <row r="45" spans="2:18" x14ac:dyDescent="0.2">
      <c r="B45" s="60" t="s">
        <v>179</v>
      </c>
      <c r="C45" s="128">
        <f>'Aramex Courier'!F10</f>
        <v>73379.523091181967</v>
      </c>
      <c r="D45" s="128">
        <f>'Aramex Express+SNS'!F10</f>
        <v>50247.341362648003</v>
      </c>
      <c r="E45" s="128">
        <f>'Aramex Domestic'!F10</f>
        <v>23133.144362153791</v>
      </c>
      <c r="F45" s="128">
        <f>'Aramex Freight'!F9</f>
        <v>12219.779379998901</v>
      </c>
      <c r="G45" s="128">
        <f>'Aramex Logistics'!F9</f>
        <v>1051.796095762129</v>
      </c>
      <c r="H45" s="128">
        <f>9242.01243149337*('2022 IR Data Book'!$A$5)</f>
        <v>2516.4767280655037</v>
      </c>
      <c r="I45" s="128">
        <f>C45+F45+G45+H45</f>
        <v>89167.575295008501</v>
      </c>
      <c r="J45" s="90"/>
      <c r="K45" s="60" t="s">
        <v>179</v>
      </c>
      <c r="L45" s="128">
        <f>354414*('2022 IR Data Book'!$A$5)</f>
        <v>96502.205521973534</v>
      </c>
      <c r="M45" s="128">
        <f>18812*('2022 IR Data Book'!$A$5)</f>
        <v>5122.2567118662528</v>
      </c>
      <c r="N45" s="128">
        <f>9009.99999999999*('2022 IR Data Book'!$A$5)</f>
        <v>2453.3028372270301</v>
      </c>
      <c r="O45" s="128">
        <f>24736*('2022 IR Data Book'!$A$5)</f>
        <v>6735.2829058432717</v>
      </c>
      <c r="P45" s="128">
        <f>SUM(L45:O45)</f>
        <v>110813.04797691009</v>
      </c>
      <c r="R45" s="28"/>
    </row>
    <row r="46" spans="2:18" x14ac:dyDescent="0.2">
      <c r="B46" s="61" t="s">
        <v>180</v>
      </c>
      <c r="C46" s="172">
        <f>C45/C44</f>
        <v>0.24562977608127551</v>
      </c>
      <c r="D46" s="172">
        <f t="shared" ref="D46:E46" si="23">D45/D44</f>
        <v>0.27412259235124609</v>
      </c>
      <c r="E46" s="172">
        <f t="shared" si="23"/>
        <v>0.20039471534444717</v>
      </c>
      <c r="F46" s="172">
        <f t="shared" ref="F46:I46" si="24">F45/F44</f>
        <v>0.11487360112947469</v>
      </c>
      <c r="G46" s="172">
        <f t="shared" si="24"/>
        <v>3.4179341005138031E-2</v>
      </c>
      <c r="H46" s="172">
        <f t="shared" si="24"/>
        <v>0.86387602295077504</v>
      </c>
      <c r="I46" s="173">
        <f t="shared" si="24"/>
        <v>0.20320682023695402</v>
      </c>
      <c r="J46" s="90"/>
      <c r="K46" s="61" t="s">
        <v>180</v>
      </c>
      <c r="L46" s="172">
        <f t="shared" ref="L46" si="25">L45/L44</f>
        <v>0.29956683438589604</v>
      </c>
      <c r="M46" s="172">
        <f t="shared" ref="M46" si="26">M45/M44</f>
        <v>6.7222389009770567E-2</v>
      </c>
      <c r="N46" s="172">
        <f t="shared" ref="N46" si="27">N45/N44</f>
        <v>8.9421957439084709E-2</v>
      </c>
      <c r="O46" s="172">
        <f t="shared" ref="O46" si="28">O45/O44</f>
        <v>0.71384013179345607</v>
      </c>
      <c r="P46" s="173">
        <f t="shared" ref="P46" si="29">P45/P44</f>
        <v>0.25462075391495753</v>
      </c>
    </row>
    <row r="47" spans="2:18" x14ac:dyDescent="0.2">
      <c r="B47" s="61" t="s">
        <v>238</v>
      </c>
      <c r="C47" s="128">
        <f>'Aramex Courier'!F13</f>
        <v>10178.069397707917</v>
      </c>
      <c r="D47" s="128"/>
      <c r="E47" s="128"/>
      <c r="F47" s="128">
        <f>'Aramex Freight'!F12</f>
        <v>1126.3981689681777</v>
      </c>
      <c r="G47" s="128">
        <f>'Aramex Logistics'!F12</f>
        <v>4318.1274651349449</v>
      </c>
      <c r="H47" s="128">
        <f>1272.02172689161*('2022 IR Data Book'!$A$5)</f>
        <v>346.35455178663886</v>
      </c>
      <c r="I47" s="128">
        <f>C47+F47+G47+H47</f>
        <v>15968.94958359768</v>
      </c>
      <c r="K47" s="61" t="s">
        <v>238</v>
      </c>
      <c r="L47" s="128">
        <f>127651*('2022 IR Data Book'!$A$5)</f>
        <v>34757.664869574684</v>
      </c>
      <c r="M47" s="128">
        <f>-13506*('2022 IR Data Book'!$A$5)</f>
        <v>-3677.5036758699557</v>
      </c>
      <c r="N47" s="128">
        <f>-39394*('2022 IR Data Book'!$A$5)</f>
        <v>-10726.460817949137</v>
      </c>
      <c r="O47" s="128">
        <f>14414*('2022 IR Data Book'!$A$5)</f>
        <v>3924.7399662364537</v>
      </c>
      <c r="P47" s="128">
        <f>SUM(L47:O47)</f>
        <v>24278.440341992045</v>
      </c>
      <c r="R47" s="28"/>
    </row>
    <row r="48" spans="2:18" x14ac:dyDescent="0.2">
      <c r="B48" s="61" t="s">
        <v>182</v>
      </c>
      <c r="C48" s="172">
        <f>C47/C44</f>
        <v>3.4069953057505063E-2</v>
      </c>
      <c r="D48" s="172"/>
      <c r="E48" s="172"/>
      <c r="F48" s="172">
        <f t="shared" ref="F48:I48" si="30">F47/F44</f>
        <v>1.0588850252633016E-2</v>
      </c>
      <c r="G48" s="172">
        <f t="shared" si="30"/>
        <v>0.14032258888311966</v>
      </c>
      <c r="H48" s="172">
        <f t="shared" si="30"/>
        <v>0.11889932833130157</v>
      </c>
      <c r="I48" s="173">
        <f t="shared" si="30"/>
        <v>3.6392146547342158E-2</v>
      </c>
      <c r="K48" s="61" t="s">
        <v>182</v>
      </c>
      <c r="L48" s="172">
        <f>L47/L44</f>
        <v>0.10789643178935937</v>
      </c>
      <c r="M48" s="172">
        <f t="shared" ref="M48:P48" si="31">M47/M44</f>
        <v>-4.8262044756855263E-2</v>
      </c>
      <c r="N48" s="172">
        <f t="shared" si="31"/>
        <v>-0.39097542634354127</v>
      </c>
      <c r="O48" s="172">
        <f t="shared" si="31"/>
        <v>0.41596424885474109</v>
      </c>
      <c r="P48" s="173">
        <f t="shared" si="31"/>
        <v>5.5785802273441876E-2</v>
      </c>
    </row>
    <row r="49" spans="2:18" x14ac:dyDescent="0.2">
      <c r="B49" s="61" t="s">
        <v>183</v>
      </c>
      <c r="C49" s="171">
        <f>'Aramex Courier'!F15</f>
        <v>26555.424372156322</v>
      </c>
      <c r="D49" s="171"/>
      <c r="E49" s="171"/>
      <c r="F49" s="171">
        <f>'Aramex Freight'!F14</f>
        <v>3126.469187774383</v>
      </c>
      <c r="G49" s="171">
        <f>'Aramex Logistics'!F14</f>
        <v>10401.732400954201</v>
      </c>
      <c r="H49" s="171">
        <f>2438.17697022321*('2022 IR Data Book'!$A$5)</f>
        <v>663.88307199891358</v>
      </c>
      <c r="I49" s="128">
        <f>C49+F49+G49+H49</f>
        <v>40747.50903288382</v>
      </c>
      <c r="K49" s="61" t="s">
        <v>183</v>
      </c>
      <c r="L49" s="171">
        <f>185007.379428629*('2022 IR Data Book'!$A$5)</f>
        <v>50375.042048856121</v>
      </c>
      <c r="M49" s="171">
        <f>1935.44186111497*('2022 IR Data Book'!$A$5)</f>
        <v>526.99500656618466</v>
      </c>
      <c r="N49" s="171">
        <f>-18868.2903895795*('2022 IR Data Book'!$A$5)</f>
        <v>-5137.5838342262969</v>
      </c>
      <c r="O49" s="171">
        <f>11528.0646359834*('2022 IR Data Book'!$A$5)</f>
        <v>3138.9382551825411</v>
      </c>
      <c r="P49" s="128">
        <f>SUM(L49:O49)</f>
        <v>48903.391476378551</v>
      </c>
      <c r="R49" s="28"/>
    </row>
    <row r="50" spans="2:18" x14ac:dyDescent="0.2">
      <c r="B50" s="129" t="s">
        <v>184</v>
      </c>
      <c r="C50" s="174">
        <f>C49/C44</f>
        <v>8.8891323730337105E-2</v>
      </c>
      <c r="D50" s="174"/>
      <c r="E50" s="174"/>
      <c r="F50" s="174">
        <f t="shared" ref="F50:I50" si="32">F49/F44</f>
        <v>2.9390774027216477E-2</v>
      </c>
      <c r="G50" s="174">
        <f t="shared" si="32"/>
        <v>0.33801642752704331</v>
      </c>
      <c r="H50" s="174">
        <f t="shared" si="32"/>
        <v>0.22790302868552337</v>
      </c>
      <c r="I50" s="174">
        <f t="shared" si="32"/>
        <v>9.2860792903184358E-2</v>
      </c>
      <c r="K50" s="129" t="s">
        <v>184</v>
      </c>
      <c r="L50" s="174">
        <f t="shared" ref="L50:P50" si="33">L49/L44</f>
        <v>0.15637665270972573</v>
      </c>
      <c r="M50" s="174">
        <f t="shared" si="33"/>
        <v>6.9160655801437819E-3</v>
      </c>
      <c r="N50" s="174">
        <f t="shared" si="33"/>
        <v>-0.18726298115041851</v>
      </c>
      <c r="O50" s="174">
        <f t="shared" si="33"/>
        <v>0.33268091765337449</v>
      </c>
      <c r="P50" s="174">
        <f t="shared" si="33"/>
        <v>0.1123677999481467</v>
      </c>
    </row>
    <row r="53" spans="2:18" x14ac:dyDescent="0.2">
      <c r="B53" s="126"/>
      <c r="C53" s="263" t="s">
        <v>27</v>
      </c>
      <c r="D53" s="263"/>
      <c r="E53" s="263"/>
      <c r="F53" s="263"/>
      <c r="G53" s="263"/>
      <c r="H53" s="263"/>
      <c r="I53" s="263"/>
    </row>
    <row r="54" spans="2:18" x14ac:dyDescent="0.2">
      <c r="B54" s="126"/>
      <c r="C54" s="138" t="s">
        <v>233</v>
      </c>
      <c r="D54" s="138" t="s">
        <v>285</v>
      </c>
      <c r="E54" s="138" t="s">
        <v>206</v>
      </c>
      <c r="F54" s="138" t="s">
        <v>234</v>
      </c>
      <c r="G54" s="138" t="s">
        <v>235</v>
      </c>
      <c r="H54" s="138" t="s">
        <v>236</v>
      </c>
      <c r="I54" s="138" t="s">
        <v>215</v>
      </c>
      <c r="K54" s="28"/>
    </row>
    <row r="55" spans="2:18" x14ac:dyDescent="0.2">
      <c r="B55" s="59" t="s">
        <v>237</v>
      </c>
      <c r="C55" s="127">
        <f>'Aramex Courier'!H7</f>
        <v>248078.17858603032</v>
      </c>
      <c r="D55" s="127">
        <f>'Aramex Express+SNS'!H7</f>
        <v>151866.63223901406</v>
      </c>
      <c r="E55" s="127">
        <f>'Aramex Domestic'!H7</f>
        <v>96211.546347016279</v>
      </c>
      <c r="F55" s="127">
        <f>'Aramex Freight'!H7</f>
        <v>106500.2088246335</v>
      </c>
      <c r="G55" s="127">
        <f>'Aramex Logistics'!H7</f>
        <v>30524.76710459511</v>
      </c>
      <c r="H55" s="127">
        <f>34601.9833958592*('2022 IR Data Book'!$A$5)</f>
        <v>9421.6586058539451</v>
      </c>
      <c r="I55" s="127">
        <f>C55+F55+G55+H55</f>
        <v>394524.81312111288</v>
      </c>
      <c r="J55" s="226"/>
      <c r="K55" s="28"/>
    </row>
    <row r="56" spans="2:18" x14ac:dyDescent="0.2">
      <c r="B56" s="60" t="s">
        <v>179</v>
      </c>
      <c r="C56" s="128">
        <f>'Aramex Courier'!H10</f>
        <v>70034.037840187055</v>
      </c>
      <c r="D56" s="128">
        <f>'Aramex Express+SNS'!H10</f>
        <v>48156.976840567731</v>
      </c>
      <c r="E56" s="128">
        <f>'Aramex Domestic'!H10</f>
        <v>21877.060999619614</v>
      </c>
      <c r="F56" s="128">
        <f>'Aramex Freight'!H9</f>
        <v>14148.59775147961</v>
      </c>
      <c r="G56" s="128">
        <f>'Aramex Logistics'!H9</f>
        <v>3611.1808209036644</v>
      </c>
      <c r="H56" s="128">
        <f>21668.6501526245*('2022 IR Data Book'!$A$5)</f>
        <v>5900.08445042327</v>
      </c>
      <c r="I56" s="128">
        <f>C56+F56+G56+H56</f>
        <v>93693.9008629936</v>
      </c>
      <c r="J56" s="226"/>
    </row>
    <row r="57" spans="2:18" x14ac:dyDescent="0.2">
      <c r="B57" s="61" t="s">
        <v>180</v>
      </c>
      <c r="C57" s="172">
        <f>C56/C55</f>
        <v>0.28230632069035511</v>
      </c>
      <c r="D57" s="172">
        <f t="shared" ref="D57:E57" si="34">D56/D55</f>
        <v>0.31710044616500266</v>
      </c>
      <c r="E57" s="172">
        <f t="shared" si="34"/>
        <v>0.2273849847575812</v>
      </c>
      <c r="F57" s="172">
        <f t="shared" ref="F57:I57" si="35">F56/F55</f>
        <v>0.13285042262008259</v>
      </c>
      <c r="G57" s="172">
        <f t="shared" si="35"/>
        <v>0.11830330460932649</v>
      </c>
      <c r="H57" s="172">
        <f t="shared" si="35"/>
        <v>0.62622566760775855</v>
      </c>
      <c r="I57" s="173">
        <f t="shared" si="35"/>
        <v>0.23748544514038222</v>
      </c>
      <c r="J57" s="226"/>
    </row>
    <row r="58" spans="2:18" x14ac:dyDescent="0.2">
      <c r="B58" s="61" t="s">
        <v>238</v>
      </c>
      <c r="C58" s="128">
        <f>'Aramex Courier'!H13</f>
        <v>14280.534982748299</v>
      </c>
      <c r="D58" s="128"/>
      <c r="E58" s="128"/>
      <c r="F58" s="128">
        <f>'Aramex Freight'!H12</f>
        <v>3998.8595585165549</v>
      </c>
      <c r="G58" s="128">
        <f>'Aramex Logistics'!H12</f>
        <v>1602.3056164560801</v>
      </c>
      <c r="H58" s="128">
        <f>1986.59382133563*('2022 IR Data Book'!$A$5)</f>
        <v>540.92300314099816</v>
      </c>
      <c r="I58" s="128">
        <f>C58+F58+G58+H58</f>
        <v>20422.623160861931</v>
      </c>
      <c r="J58" s="226"/>
    </row>
    <row r="59" spans="2:18" x14ac:dyDescent="0.2">
      <c r="B59" s="61" t="s">
        <v>182</v>
      </c>
      <c r="C59" s="172">
        <f>C58/C55</f>
        <v>5.7564655884459394E-2</v>
      </c>
      <c r="D59" s="172"/>
      <c r="E59" s="172"/>
      <c r="F59" s="172">
        <f t="shared" ref="F59:I59" si="36">F58/F55</f>
        <v>3.7547903451543456E-2</v>
      </c>
      <c r="G59" s="172">
        <f t="shared" si="36"/>
        <v>5.2491984982741234E-2</v>
      </c>
      <c r="H59" s="172">
        <f t="shared" si="36"/>
        <v>5.7412715294619915E-2</v>
      </c>
      <c r="I59" s="173">
        <f t="shared" si="36"/>
        <v>5.1765117127354189E-2</v>
      </c>
      <c r="J59" s="226"/>
    </row>
    <row r="60" spans="2:18" x14ac:dyDescent="0.2">
      <c r="B60" s="61" t="s">
        <v>183</v>
      </c>
      <c r="C60" s="171">
        <f>'Aramex Courier'!H15</f>
        <v>30460.934779664542</v>
      </c>
      <c r="D60" s="171"/>
      <c r="E60" s="171"/>
      <c r="F60" s="171">
        <f>'Aramex Freight'!H14</f>
        <v>5873.5672155930124</v>
      </c>
      <c r="G60" s="171">
        <f>'Aramex Logistics'!H14</f>
        <v>7856.5736665176437</v>
      </c>
      <c r="H60" s="171">
        <f>6370.09771565414*('2022 IR Data Book'!$A$5)</f>
        <v>1734.4926525225017</v>
      </c>
      <c r="I60" s="128">
        <f>C60+F60+G60+H60</f>
        <v>45925.5683142977</v>
      </c>
      <c r="J60" s="226"/>
    </row>
    <row r="61" spans="2:18" x14ac:dyDescent="0.2">
      <c r="B61" s="129" t="s">
        <v>184</v>
      </c>
      <c r="C61" s="174">
        <f>C60/C55</f>
        <v>0.12278764280390378</v>
      </c>
      <c r="D61" s="174"/>
      <c r="E61" s="174"/>
      <c r="F61" s="174">
        <f t="shared" ref="F61:I61" si="37">F60/F55</f>
        <v>5.5150757734800382E-2</v>
      </c>
      <c r="G61" s="174">
        <f t="shared" si="37"/>
        <v>0.25738357444617288</v>
      </c>
      <c r="H61" s="174">
        <f t="shared" si="37"/>
        <v>0.18409631733470069</v>
      </c>
      <c r="I61" s="174">
        <f t="shared" si="37"/>
        <v>0.11640730009090525</v>
      </c>
      <c r="J61" s="226"/>
    </row>
    <row r="65" spans="2:12" x14ac:dyDescent="0.2">
      <c r="B65" s="126"/>
      <c r="C65" s="263" t="s">
        <v>28</v>
      </c>
      <c r="D65" s="263"/>
      <c r="E65" s="263"/>
      <c r="F65" s="263"/>
      <c r="G65" s="263"/>
      <c r="H65" s="263"/>
      <c r="I65" s="263"/>
    </row>
    <row r="66" spans="2:12" x14ac:dyDescent="0.2">
      <c r="B66" s="126"/>
      <c r="C66" s="138" t="s">
        <v>233</v>
      </c>
      <c r="D66" s="138" t="s">
        <v>285</v>
      </c>
      <c r="E66" s="138" t="s">
        <v>206</v>
      </c>
      <c r="F66" s="138" t="s">
        <v>234</v>
      </c>
      <c r="G66" s="138" t="s">
        <v>235</v>
      </c>
      <c r="H66" s="138" t="s">
        <v>236</v>
      </c>
      <c r="I66" s="138" t="s">
        <v>215</v>
      </c>
      <c r="L66" s="28"/>
    </row>
    <row r="67" spans="2:12" x14ac:dyDescent="0.2">
      <c r="B67" s="59" t="s">
        <v>237</v>
      </c>
      <c r="C67" s="127">
        <f>'Aramex Courier'!I7</f>
        <v>254904.7273579358</v>
      </c>
      <c r="D67" s="127">
        <f>'Aramex Express+SNS'!I7</f>
        <v>159857.00756665823</v>
      </c>
      <c r="E67" s="127">
        <f>'Aramex Domestic'!I7</f>
        <v>95047.719791277559</v>
      </c>
      <c r="F67" s="127">
        <f>'Aramex Freight'!I7</f>
        <v>117739.49237633991</v>
      </c>
      <c r="G67" s="127">
        <f>'Aramex Logistics'!I7</f>
        <v>30429.710337881879</v>
      </c>
      <c r="H67" s="127">
        <f>36259.4351956508*('2022 IR Data Book'!$A$5)</f>
        <v>9872.9606261642439</v>
      </c>
      <c r="I67" s="127">
        <f>C67+F67+G67+H67</f>
        <v>412946.8906983218</v>
      </c>
      <c r="J67" s="226"/>
    </row>
    <row r="68" spans="2:12" x14ac:dyDescent="0.2">
      <c r="B68" s="60" t="s">
        <v>179</v>
      </c>
      <c r="C68" s="128">
        <f>'Aramex Courier'!I10</f>
        <v>72714.096954299981</v>
      </c>
      <c r="D68" s="128">
        <f>'Aramex Express+SNS'!I10</f>
        <v>51398.501259283075</v>
      </c>
      <c r="E68" s="128">
        <f>'Aramex Domestic'!I10</f>
        <v>21315.595695016877</v>
      </c>
      <c r="F68" s="128">
        <f>'Aramex Freight'!I9</f>
        <v>15765.569633008228</v>
      </c>
      <c r="G68" s="128">
        <f>'Aramex Logistics'!I9</f>
        <v>7745.068542489571</v>
      </c>
      <c r="H68" s="128">
        <f>25227.8134613751*('2022 IR Data Book'!$A$5)</f>
        <v>6869.1971522559215</v>
      </c>
      <c r="I68" s="128">
        <f>C68+F68+G68+H68</f>
        <v>103093.93228205369</v>
      </c>
      <c r="J68" s="226"/>
    </row>
    <row r="69" spans="2:12" x14ac:dyDescent="0.2">
      <c r="B69" s="61" t="s">
        <v>180</v>
      </c>
      <c r="C69" s="172">
        <f>C68/C67</f>
        <v>0.28525989968085314</v>
      </c>
      <c r="D69" s="172">
        <f t="shared" ref="D69:E69" si="38">D68/D67</f>
        <v>0.32152798330001636</v>
      </c>
      <c r="E69" s="172">
        <f t="shared" si="38"/>
        <v>0.22426204165471195</v>
      </c>
      <c r="F69" s="172">
        <f t="shared" ref="F69" si="39">F68/F67</f>
        <v>0.13390213695346595</v>
      </c>
      <c r="G69" s="172">
        <f t="shared" ref="G69" si="40">G68/G67</f>
        <v>0.25452324246569485</v>
      </c>
      <c r="H69" s="172">
        <f t="shared" ref="H69:I69" si="41">H68/H67</f>
        <v>0.69575858877142938</v>
      </c>
      <c r="I69" s="173">
        <f t="shared" si="41"/>
        <v>0.24965421608506291</v>
      </c>
      <c r="J69" s="226"/>
    </row>
    <row r="70" spans="2:12" x14ac:dyDescent="0.2">
      <c r="B70" s="61" t="s">
        <v>238</v>
      </c>
      <c r="C70" s="128">
        <f>'Aramex Courier'!I13</f>
        <v>10921.047723565049</v>
      </c>
      <c r="D70" s="128"/>
      <c r="E70" s="128"/>
      <c r="F70" s="128">
        <f>'Aramex Freight'!I12</f>
        <v>4681.0235887349836</v>
      </c>
      <c r="G70" s="128">
        <f>'Aramex Logistics'!I12</f>
        <v>1410.4022335018676</v>
      </c>
      <c r="H70" s="128">
        <f>1086.56804460954*('2022 IR Data Book'!$A$5)</f>
        <v>295.85798742295378</v>
      </c>
      <c r="I70" s="128">
        <f>C70+F70+G70+H70</f>
        <v>17308.331533224853</v>
      </c>
      <c r="J70" s="226"/>
    </row>
    <row r="71" spans="2:12" x14ac:dyDescent="0.2">
      <c r="B71" s="61" t="s">
        <v>182</v>
      </c>
      <c r="C71" s="172">
        <f>C70/C67</f>
        <v>4.2843645297443909E-2</v>
      </c>
      <c r="D71" s="172"/>
      <c r="E71" s="172"/>
      <c r="F71" s="172">
        <f t="shared" ref="F71" si="42">F70/F67</f>
        <v>3.975746365350942E-2</v>
      </c>
      <c r="G71" s="172">
        <f t="shared" ref="G71" si="43">G70/G67</f>
        <v>4.634951229706781E-2</v>
      </c>
      <c r="H71" s="172">
        <f t="shared" ref="H71:I71" si="44">H70/H67</f>
        <v>2.9966491169720985E-2</v>
      </c>
      <c r="I71" s="173">
        <f t="shared" si="44"/>
        <v>4.1914182969038136E-2</v>
      </c>
      <c r="J71" s="226"/>
    </row>
    <row r="72" spans="2:12" x14ac:dyDescent="0.2">
      <c r="B72" s="61" t="s">
        <v>183</v>
      </c>
      <c r="C72" s="171">
        <f>'Aramex Courier'!I15</f>
        <v>26792.727051209768</v>
      </c>
      <c r="D72" s="171"/>
      <c r="E72" s="171"/>
      <c r="F72" s="171">
        <f>'Aramex Freight'!I14</f>
        <v>6731.2280062383588</v>
      </c>
      <c r="G72" s="171">
        <f>'Aramex Logistics'!I14</f>
        <v>7345.0522191845284</v>
      </c>
      <c r="H72" s="171">
        <f>5436.60428984679*('2022 IR Data Book'!$A$5)</f>
        <v>1480.3148423043049</v>
      </c>
      <c r="I72" s="128">
        <f>C72+F72+G72+H72</f>
        <v>42349.322118936958</v>
      </c>
      <c r="J72" s="226"/>
    </row>
    <row r="73" spans="2:12" x14ac:dyDescent="0.2">
      <c r="B73" s="129" t="s">
        <v>184</v>
      </c>
      <c r="C73" s="174">
        <f>C72/C67</f>
        <v>0.10510878840464802</v>
      </c>
      <c r="D73" s="174"/>
      <c r="E73" s="174"/>
      <c r="F73" s="174">
        <f t="shared" ref="F73" si="45">F72/F67</f>
        <v>5.7170520021632254E-2</v>
      </c>
      <c r="G73" s="174">
        <f t="shared" ref="G73" si="46">G72/G67</f>
        <v>0.24137765813829287</v>
      </c>
      <c r="H73" s="174">
        <f t="shared" ref="H73:I73" si="47">H72/H67</f>
        <v>0.14993626515448019</v>
      </c>
      <c r="I73" s="174">
        <f t="shared" si="47"/>
        <v>0.10255391933650673</v>
      </c>
      <c r="J73" s="226"/>
    </row>
    <row r="77" spans="2:12" x14ac:dyDescent="0.2">
      <c r="B77" s="126"/>
      <c r="C77" s="263" t="s">
        <v>275</v>
      </c>
      <c r="D77" s="263"/>
      <c r="E77" s="263"/>
      <c r="F77" s="263"/>
      <c r="G77" s="263"/>
      <c r="H77" s="263"/>
      <c r="I77" s="263"/>
    </row>
    <row r="78" spans="2:12" x14ac:dyDescent="0.2">
      <c r="B78" s="126"/>
      <c r="C78" s="138" t="s">
        <v>233</v>
      </c>
      <c r="D78" s="138" t="s">
        <v>285</v>
      </c>
      <c r="E78" s="138" t="s">
        <v>206</v>
      </c>
      <c r="F78" s="138" t="s">
        <v>234</v>
      </c>
      <c r="G78" s="138" t="s">
        <v>235</v>
      </c>
      <c r="H78" s="138" t="s">
        <v>236</v>
      </c>
      <c r="I78" s="138" t="s">
        <v>215</v>
      </c>
    </row>
    <row r="79" spans="2:12" x14ac:dyDescent="0.2">
      <c r="B79" s="59" t="s">
        <v>237</v>
      </c>
      <c r="C79" s="127">
        <f>'Aramex Courier'!J7</f>
        <v>248607.34779998582</v>
      </c>
      <c r="D79" s="127">
        <f>'Aramex Express+SNS'!J7</f>
        <v>135190.30118367559</v>
      </c>
      <c r="E79" s="127">
        <f>'Aramex Domestic'!J7</f>
        <v>113417.04661631024</v>
      </c>
      <c r="F79" s="127">
        <f>'Aramex Freight'!J7</f>
        <v>119678.13903452294</v>
      </c>
      <c r="G79" s="127">
        <f>'Aramex Logistics'!J7</f>
        <v>30080.736786024889</v>
      </c>
      <c r="H79" s="127">
        <f>-36789.3525840966*(('2022 IR Data Book'!$A$5))</f>
        <v>-10017.250063741383</v>
      </c>
      <c r="I79" s="127">
        <f>C79+F79+G79+H79</f>
        <v>388348.97355679225</v>
      </c>
      <c r="J79" s="226"/>
      <c r="K79" s="28"/>
    </row>
    <row r="80" spans="2:12" x14ac:dyDescent="0.2">
      <c r="B80" s="60" t="s">
        <v>179</v>
      </c>
      <c r="C80" s="128">
        <f>'Aramex Courier'!J10</f>
        <v>73455.523773274501</v>
      </c>
      <c r="D80" s="128">
        <f>'Aramex Express+SNS'!J10</f>
        <v>41851.104993347763</v>
      </c>
      <c r="E80" s="128">
        <f>'Aramex Domestic'!J10</f>
        <v>31604.42199992649</v>
      </c>
      <c r="F80" s="128">
        <f>'Aramex Freight'!J9</f>
        <v>16575.029240702221</v>
      </c>
      <c r="G80" s="128">
        <f>'Aramex Logistics'!J9</f>
        <v>2345.9240007550543</v>
      </c>
      <c r="H80" s="128">
        <f>-18434.7593072861*(('2022 IR Data Book'!$A$5))</f>
        <v>-5019.5391023487709</v>
      </c>
      <c r="I80" s="128">
        <f>C80+F80+G80+H80</f>
        <v>87356.937912383</v>
      </c>
      <c r="J80" s="226"/>
      <c r="K80" s="28"/>
    </row>
    <row r="81" spans="2:12" x14ac:dyDescent="0.2">
      <c r="B81" s="61" t="s">
        <v>180</v>
      </c>
      <c r="C81" s="172">
        <f>C80/C79</f>
        <v>0.29546803191180132</v>
      </c>
      <c r="D81" s="172">
        <f t="shared" ref="D81:E81" si="48">D80/D79</f>
        <v>0.30957180083863395</v>
      </c>
      <c r="E81" s="172">
        <f t="shared" si="48"/>
        <v>0.27865671821665589</v>
      </c>
      <c r="F81" s="172">
        <f t="shared" ref="F81:I81" si="49">F80/F79</f>
        <v>0.13849671606207803</v>
      </c>
      <c r="G81" s="172">
        <f t="shared" si="49"/>
        <v>7.7987584461193762E-2</v>
      </c>
      <c r="H81" s="172">
        <f t="shared" si="49"/>
        <v>0.50108952760574321</v>
      </c>
      <c r="I81" s="173">
        <f t="shared" si="49"/>
        <v>0.22494442849250354</v>
      </c>
      <c r="J81" s="226"/>
      <c r="K81" s="28"/>
    </row>
    <row r="82" spans="2:12" x14ac:dyDescent="0.2">
      <c r="B82" s="61" t="s">
        <v>238</v>
      </c>
      <c r="C82" s="128">
        <f>'Aramex Courier'!J13</f>
        <v>5485.7890071793008</v>
      </c>
      <c r="D82" s="128"/>
      <c r="E82" s="128"/>
      <c r="F82" s="128">
        <f>'Aramex Freight'!J12</f>
        <v>6439.3942422976907</v>
      </c>
      <c r="G82" s="128">
        <f>'Aramex Logistics'!J12</f>
        <v>-1690.0728920640254</v>
      </c>
      <c r="H82" s="128">
        <f>13315.9612230839*(('2022 IR Data Book'!$A$5))</f>
        <v>3625.7586513870006</v>
      </c>
      <c r="I82" s="128">
        <f>C82+F82+G82+H82</f>
        <v>13860.869008799968</v>
      </c>
      <c r="J82" s="226"/>
      <c r="K82" s="28"/>
      <c r="L82" s="90"/>
    </row>
    <row r="83" spans="2:12" x14ac:dyDescent="0.2">
      <c r="B83" s="61" t="s">
        <v>182</v>
      </c>
      <c r="C83" s="172">
        <f>C82/C79</f>
        <v>2.2066077514301102E-2</v>
      </c>
      <c r="D83" s="172"/>
      <c r="E83" s="172"/>
      <c r="F83" s="172">
        <f t="shared" ref="F83:I83" si="50">F82/F79</f>
        <v>5.3805935605667723E-2</v>
      </c>
      <c r="G83" s="172">
        <f t="shared" si="50"/>
        <v>-5.6184557714996225E-2</v>
      </c>
      <c r="H83" s="172">
        <f t="shared" si="50"/>
        <v>-0.36195149650010844</v>
      </c>
      <c r="I83" s="173">
        <f t="shared" si="50"/>
        <v>3.5691787419577022E-2</v>
      </c>
      <c r="J83" s="226"/>
      <c r="K83" s="28"/>
      <c r="L83" s="90"/>
    </row>
    <row r="84" spans="2:12" x14ac:dyDescent="0.2">
      <c r="B84" s="61" t="s">
        <v>183</v>
      </c>
      <c r="C84" s="171">
        <f>'Aramex Courier'!J15</f>
        <v>24388.556256797718</v>
      </c>
      <c r="D84" s="171"/>
      <c r="E84" s="171"/>
      <c r="F84" s="171">
        <f>'Aramex Freight'!J14</f>
        <v>8544.0924508211901</v>
      </c>
      <c r="G84" s="171">
        <f>'Aramex Logistics'!J14</f>
        <v>4080.4343615819039</v>
      </c>
      <c r="H84" s="171">
        <f>5420.97088348717*(('2022 IR Data Book'!$A$5))</f>
        <v>1476.0580742490795</v>
      </c>
      <c r="I84" s="128">
        <f>C84+F84+G84+H84</f>
        <v>38489.141143449888</v>
      </c>
      <c r="J84" s="226"/>
      <c r="K84" s="28"/>
      <c r="L84" s="90"/>
    </row>
    <row r="85" spans="2:12" x14ac:dyDescent="0.2">
      <c r="B85" s="129" t="s">
        <v>184</v>
      </c>
      <c r="C85" s="174">
        <f>C84/C79</f>
        <v>9.8100705681552297E-2</v>
      </c>
      <c r="D85" s="174"/>
      <c r="E85" s="174"/>
      <c r="F85" s="174">
        <f t="shared" ref="F85:I85" si="51">F84/F79</f>
        <v>7.1392256929701414E-2</v>
      </c>
      <c r="G85" s="174">
        <f t="shared" si="51"/>
        <v>0.13564941545838796</v>
      </c>
      <c r="H85" s="174">
        <f t="shared" si="51"/>
        <v>-0.14735162493265946</v>
      </c>
      <c r="I85" s="174">
        <f t="shared" si="51"/>
        <v>9.9109676513207595E-2</v>
      </c>
      <c r="J85" s="226"/>
      <c r="K85" s="28"/>
    </row>
    <row r="87" spans="2:12" x14ac:dyDescent="0.2">
      <c r="C87" s="90"/>
      <c r="D87" s="90"/>
      <c r="E87" s="90"/>
      <c r="F87" s="90"/>
      <c r="G87" s="90"/>
      <c r="H87" s="90"/>
    </row>
    <row r="88" spans="2:12" x14ac:dyDescent="0.2">
      <c r="C88" s="90"/>
      <c r="D88" s="90"/>
      <c r="E88" s="90"/>
      <c r="F88" s="90"/>
      <c r="G88" s="90"/>
      <c r="H88" s="90"/>
    </row>
    <row r="89" spans="2:12" x14ac:dyDescent="0.2">
      <c r="B89" s="126"/>
      <c r="C89" s="263" t="s">
        <v>303</v>
      </c>
      <c r="D89" s="263"/>
      <c r="E89" s="263"/>
      <c r="F89" s="263"/>
      <c r="G89" s="263"/>
      <c r="H89" s="263"/>
      <c r="I89" s="263"/>
    </row>
    <row r="90" spans="2:12" x14ac:dyDescent="0.2">
      <c r="B90" s="126"/>
      <c r="C90" s="138" t="s">
        <v>233</v>
      </c>
      <c r="D90" s="138" t="s">
        <v>285</v>
      </c>
      <c r="E90" s="138" t="s">
        <v>206</v>
      </c>
      <c r="F90" s="138" t="s">
        <v>234</v>
      </c>
      <c r="G90" s="138" t="s">
        <v>235</v>
      </c>
      <c r="H90" s="138" t="s">
        <v>236</v>
      </c>
      <c r="I90" s="138" t="s">
        <v>215</v>
      </c>
    </row>
    <row r="91" spans="2:12" x14ac:dyDescent="0.2">
      <c r="B91" s="59" t="s">
        <v>237</v>
      </c>
      <c r="C91" s="127">
        <f>'Aramex Courier'!K7</f>
        <v>269506.69826681534</v>
      </c>
      <c r="D91" s="127">
        <f>'Aramex Express+SNS'!K7</f>
        <v>165427.47030159368</v>
      </c>
      <c r="E91" s="127">
        <f>'Aramex Domestic'!K7</f>
        <v>104079.22796522164</v>
      </c>
      <c r="F91" s="127">
        <f>'Aramex Freight'!K7</f>
        <v>114715.16216186162</v>
      </c>
      <c r="G91" s="127">
        <f>'Aramex Logistics'!K7</f>
        <v>30212.502956374774</v>
      </c>
      <c r="H91" s="127">
        <f>12182.2109990966*(('2022 IR Data Book'!$A$5))</f>
        <v>3317.0535857693731</v>
      </c>
      <c r="I91" s="127">
        <f>C91+F91+G91+H91</f>
        <v>417751.4169708211</v>
      </c>
      <c r="J91" s="226"/>
      <c r="K91" s="28"/>
      <c r="L91" s="28"/>
    </row>
    <row r="92" spans="2:12" x14ac:dyDescent="0.2">
      <c r="B92" s="60" t="s">
        <v>179</v>
      </c>
      <c r="C92" s="128">
        <f>'Aramex Courier'!K10</f>
        <v>79396.454456292529</v>
      </c>
      <c r="D92" s="128">
        <f>'Aramex Express+SNS'!K10</f>
        <v>52823.372902745468</v>
      </c>
      <c r="E92" s="128">
        <f>'Aramex Domestic'!K10</f>
        <v>26573.081553547076</v>
      </c>
      <c r="F92" s="128">
        <f>'Aramex Freight'!K9</f>
        <v>16871.10952902821</v>
      </c>
      <c r="G92" s="128">
        <f>'Aramex Logistics'!K9</f>
        <v>4546.1470622617235</v>
      </c>
      <c r="H92" s="128">
        <f>10505.6098040025*(('2022 IR Data Book'!$A$5))</f>
        <v>2860.5374405060447</v>
      </c>
      <c r="I92" s="128">
        <f>C92+F92+G92+H92</f>
        <v>103674.2484880885</v>
      </c>
      <c r="J92" s="226"/>
      <c r="K92" s="28"/>
      <c r="L92" s="28"/>
    </row>
    <row r="93" spans="2:12" x14ac:dyDescent="0.2">
      <c r="B93" s="61" t="s">
        <v>180</v>
      </c>
      <c r="C93" s="172">
        <f>C92/C91</f>
        <v>0.29459918794926926</v>
      </c>
      <c r="D93" s="172">
        <f t="shared" ref="D93:I93" si="52">D92/D91</f>
        <v>0.31931439685586838</v>
      </c>
      <c r="E93" s="172">
        <f t="shared" si="52"/>
        <v>0.25531589802363391</v>
      </c>
      <c r="F93" s="172">
        <f t="shared" si="52"/>
        <v>0.14706956962867115</v>
      </c>
      <c r="G93" s="172">
        <f t="shared" si="52"/>
        <v>0.15047237459359508</v>
      </c>
      <c r="H93" s="172">
        <f t="shared" si="52"/>
        <v>0.8623729965587994</v>
      </c>
      <c r="I93" s="173">
        <f t="shared" si="52"/>
        <v>0.24817210493227337</v>
      </c>
      <c r="J93" s="226"/>
    </row>
    <row r="94" spans="2:12" x14ac:dyDescent="0.2">
      <c r="B94" s="61" t="s">
        <v>238</v>
      </c>
      <c r="C94" s="128">
        <f>'Aramex Courier'!K13</f>
        <v>8632.9177334035012</v>
      </c>
      <c r="D94" s="128"/>
      <c r="E94" s="128"/>
      <c r="F94" s="128">
        <f>'Aramex Freight'!K12</f>
        <v>4448.8632648344219</v>
      </c>
      <c r="G94" s="128">
        <f>'Aramex Logistics'!K12</f>
        <v>645.44825456374497</v>
      </c>
      <c r="H94" s="128">
        <f>5434.96031399955*(('2022 IR Data Book'!$A$5))</f>
        <v>1479.8672096061507</v>
      </c>
      <c r="I94" s="128">
        <f>C94+F94+G94+H94</f>
        <v>15207.096462407819</v>
      </c>
      <c r="K94" s="28"/>
      <c r="L94" s="28"/>
    </row>
    <row r="95" spans="2:12" x14ac:dyDescent="0.2">
      <c r="B95" s="61" t="s">
        <v>182</v>
      </c>
      <c r="C95" s="172">
        <f>C94/C91</f>
        <v>3.2032293775707175E-2</v>
      </c>
      <c r="D95" s="172"/>
      <c r="E95" s="172"/>
      <c r="F95" s="172">
        <f t="shared" ref="F95:I95" si="53">F94/F91</f>
        <v>3.8781824311568625E-2</v>
      </c>
      <c r="G95" s="172">
        <f t="shared" si="53"/>
        <v>2.1363614113525699E-2</v>
      </c>
      <c r="H95" s="172">
        <f t="shared" si="53"/>
        <v>0.44613907232460442</v>
      </c>
      <c r="I95" s="173">
        <f t="shared" si="53"/>
        <v>3.6402261834745604E-2</v>
      </c>
    </row>
    <row r="96" spans="2:12" x14ac:dyDescent="0.2">
      <c r="B96" s="61" t="s">
        <v>183</v>
      </c>
      <c r="C96" s="171">
        <f>'Aramex Courier'!K15</f>
        <v>25757.19813417859</v>
      </c>
      <c r="D96" s="171"/>
      <c r="E96" s="171"/>
      <c r="F96" s="171">
        <f>'Aramex Freight'!K14</f>
        <v>6384.4188685878125</v>
      </c>
      <c r="G96" s="171">
        <f>'Aramex Logistics'!K14</f>
        <v>6641.6317632049222</v>
      </c>
      <c r="H96" s="171">
        <f>6010.4246353474*(('2022 IR Data Book'!$A$5))</f>
        <v>1636.5584695712573</v>
      </c>
      <c r="I96" s="128">
        <f>C96+F96+G96+H96</f>
        <v>40419.80723554259</v>
      </c>
      <c r="K96" s="28"/>
      <c r="L96" s="28"/>
    </row>
    <row r="97" spans="2:9" x14ac:dyDescent="0.2">
      <c r="B97" s="129" t="s">
        <v>184</v>
      </c>
      <c r="C97" s="174">
        <f>C96/C91</f>
        <v>9.5571643672761747E-2</v>
      </c>
      <c r="D97" s="174"/>
      <c r="E97" s="174"/>
      <c r="F97" s="174">
        <f t="shared" ref="F97:I97" si="54">F96/F91</f>
        <v>5.5654533788475839E-2</v>
      </c>
      <c r="G97" s="174">
        <f t="shared" si="54"/>
        <v>0.21983057056858482</v>
      </c>
      <c r="H97" s="174">
        <f t="shared" si="54"/>
        <v>0.49337715754497413</v>
      </c>
      <c r="I97" s="174">
        <f t="shared" si="54"/>
        <v>9.6755643651989853E-2</v>
      </c>
    </row>
  </sheetData>
  <mergeCells count="12">
    <mergeCell ref="C89:I89"/>
    <mergeCell ref="C5:I5"/>
    <mergeCell ref="L5:P5"/>
    <mergeCell ref="C18:I18"/>
    <mergeCell ref="L18:P18"/>
    <mergeCell ref="C31:I31"/>
    <mergeCell ref="L31:P31"/>
    <mergeCell ref="C77:I77"/>
    <mergeCell ref="C53:I53"/>
    <mergeCell ref="C65:I65"/>
    <mergeCell ref="C42:I42"/>
    <mergeCell ref="L42:P42"/>
  </mergeCells>
  <pageMargins left="0.7" right="0.7" top="0.75" bottom="0.75" header="0.3" footer="0.3"/>
  <pageSetup paperSize="9" orientation="portrait" r:id="rId1"/>
  <ignoredErrors>
    <ignoredError sqref="I9 P9:P11 P22:P24 P35:P37 P46:P48 I11 I81 I83 I93 I69 I57 I46 I35 I22 I95 I48 I37 I24 I59 I71"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61EF8-9002-483C-8197-1A5536EBCB44}">
  <dimension ref="A1:N35"/>
  <sheetViews>
    <sheetView showGridLines="0" workbookViewId="0">
      <selection activeCell="P31" sqref="P31"/>
    </sheetView>
  </sheetViews>
  <sheetFormatPr defaultColWidth="9.140625" defaultRowHeight="12.75" x14ac:dyDescent="0.2"/>
  <cols>
    <col min="1" max="1" width="5.42578125" style="1" customWidth="1"/>
    <col min="2" max="2" width="47.28515625" style="1" customWidth="1"/>
    <col min="3" max="5" width="10" style="1" bestFit="1" customWidth="1"/>
    <col min="6" max="7" width="12" style="1" customWidth="1"/>
    <col min="8" max="8" width="8.7109375" style="1" customWidth="1"/>
    <col min="9" max="9" width="39" style="1" bestFit="1" customWidth="1"/>
    <col min="10" max="10" width="9" style="1" bestFit="1" customWidth="1"/>
    <col min="11" max="11" width="9.5703125" style="1" bestFit="1" customWidth="1"/>
    <col min="12" max="12" width="10.140625" style="1" customWidth="1"/>
    <col min="13" max="13" width="9.140625" style="1"/>
    <col min="14" max="14" width="12" style="1" bestFit="1" customWidth="1"/>
    <col min="15" max="16384" width="9.140625" style="1"/>
  </cols>
  <sheetData>
    <row r="1" spans="1:14" x14ac:dyDescent="0.2">
      <c r="A1" s="176">
        <f>'2022 IR Data Book'!$A$5</f>
        <v>0.27228666339922669</v>
      </c>
      <c r="C1" s="2"/>
      <c r="D1" s="2"/>
      <c r="E1" s="2"/>
      <c r="F1" s="2"/>
      <c r="G1" s="2"/>
    </row>
    <row r="2" spans="1:14" x14ac:dyDescent="0.2">
      <c r="B2" s="3" t="s">
        <v>242</v>
      </c>
      <c r="C2" s="4"/>
      <c r="D2" s="4"/>
      <c r="E2" s="4"/>
      <c r="F2" s="4"/>
      <c r="G2" s="4"/>
    </row>
    <row r="4" spans="1:14" ht="25.5" x14ac:dyDescent="0.2">
      <c r="B4" s="94" t="s">
        <v>237</v>
      </c>
      <c r="C4" s="95" t="s">
        <v>243</v>
      </c>
      <c r="D4" s="95" t="s">
        <v>244</v>
      </c>
      <c r="E4" s="95" t="s">
        <v>245</v>
      </c>
      <c r="F4" s="95" t="s">
        <v>246</v>
      </c>
      <c r="G4" s="96" t="s">
        <v>247</v>
      </c>
      <c r="I4" s="97" t="s">
        <v>248</v>
      </c>
      <c r="J4" s="98" t="s">
        <v>243</v>
      </c>
      <c r="K4" s="98" t="s">
        <v>244</v>
      </c>
      <c r="L4" s="98" t="s">
        <v>245</v>
      </c>
      <c r="M4" s="98" t="s">
        <v>246</v>
      </c>
      <c r="N4" s="99" t="s">
        <v>247</v>
      </c>
    </row>
    <row r="5" spans="1:14" x14ac:dyDescent="0.2">
      <c r="B5" s="15" t="s">
        <v>249</v>
      </c>
      <c r="C5" s="5">
        <f>C6+C7</f>
        <v>208514.35850873168</v>
      </c>
      <c r="D5" s="5">
        <f t="shared" ref="D5:F5" si="0">D6+D7</f>
        <v>214993.44944855961</v>
      </c>
      <c r="E5" s="5">
        <f t="shared" si="0"/>
        <v>216983.71576588138</v>
      </c>
      <c r="F5" s="5">
        <f t="shared" si="0"/>
        <v>264591.36631009064</v>
      </c>
      <c r="G5" s="7">
        <f>SUM(C5:F5)</f>
        <v>905082.89003326325</v>
      </c>
      <c r="I5" s="100" t="s">
        <v>250</v>
      </c>
      <c r="J5" s="101">
        <v>20</v>
      </c>
      <c r="K5" s="101">
        <v>20</v>
      </c>
      <c r="L5" s="101">
        <v>22</v>
      </c>
      <c r="M5" s="102">
        <v>25</v>
      </c>
      <c r="N5" s="103">
        <v>88</v>
      </c>
    </row>
    <row r="6" spans="1:14" x14ac:dyDescent="0.2">
      <c r="B6" s="17" t="s">
        <v>251</v>
      </c>
      <c r="C6" s="8">
        <f>500411.542893547*('2022 IR Data Book'!$A$5)</f>
        <v>136255.38934094293</v>
      </c>
      <c r="D6" s="8">
        <f>527816.532850836*('2022 IR Data Book'!$A$5)</f>
        <v>143717.40261690249</v>
      </c>
      <c r="E6" s="8">
        <f>542630.923505683*('2022 IR Data Book'!$A$5)</f>
        <v>147751.16361860343</v>
      </c>
      <c r="F6" s="9">
        <f>701828.936519285*('2022 IR Data Book'!$A$5)</f>
        <v>191098.65940186378</v>
      </c>
      <c r="G6" s="10">
        <f>SUM(C6:F6)</f>
        <v>618822.61497831263</v>
      </c>
      <c r="I6" s="104" t="s">
        <v>252</v>
      </c>
      <c r="J6" s="105">
        <v>5</v>
      </c>
      <c r="K6" s="105">
        <v>5</v>
      </c>
      <c r="L6" s="105">
        <v>5</v>
      </c>
      <c r="M6" s="106">
        <v>6</v>
      </c>
      <c r="N6" s="107">
        <v>21</v>
      </c>
    </row>
    <row r="7" spans="1:14" x14ac:dyDescent="0.2">
      <c r="B7" s="18" t="s">
        <v>253</v>
      </c>
      <c r="C7" s="5">
        <f>265378.290165621*('2022 IR Data Book'!$A$5)</f>
        <v>72258.969167788746</v>
      </c>
      <c r="D7" s="5">
        <f>261768.409593944*('2022 IR Data Book'!$A$5)</f>
        <v>71276.046831657135</v>
      </c>
      <c r="E7" s="5">
        <f>254263.471016093*('2022 IR Data Book'!$A$5)</f>
        <v>69232.552147277951</v>
      </c>
      <c r="F7" s="6">
        <f>269909.315391154*('2022 IR Data Book'!$A$5)</f>
        <v>73492.706908226872</v>
      </c>
      <c r="G7" s="11">
        <f t="shared" ref="G7" si="1">SUM(C7:F7)</f>
        <v>286260.27505495067</v>
      </c>
      <c r="I7" s="108" t="s">
        <v>254</v>
      </c>
      <c r="J7" s="109">
        <v>15</v>
      </c>
      <c r="K7" s="109">
        <v>15</v>
      </c>
      <c r="L7" s="109">
        <v>17</v>
      </c>
      <c r="M7" s="110">
        <v>19</v>
      </c>
      <c r="N7" s="111">
        <v>67</v>
      </c>
    </row>
    <row r="8" spans="1:14" x14ac:dyDescent="0.2">
      <c r="B8" s="16"/>
      <c r="C8" s="12"/>
      <c r="D8" s="12"/>
      <c r="E8" s="12"/>
      <c r="F8" s="12"/>
      <c r="G8" s="12"/>
      <c r="I8" s="16"/>
      <c r="J8" s="12"/>
      <c r="K8" s="12"/>
      <c r="L8" s="12"/>
      <c r="M8" s="12"/>
      <c r="N8" s="12"/>
    </row>
    <row r="9" spans="1:14" ht="25.5" x14ac:dyDescent="0.2">
      <c r="B9" s="94" t="s">
        <v>237</v>
      </c>
      <c r="C9" s="95" t="s">
        <v>255</v>
      </c>
      <c r="D9" s="95" t="s">
        <v>256</v>
      </c>
      <c r="E9" s="95" t="s">
        <v>257</v>
      </c>
      <c r="F9" s="95" t="s">
        <v>258</v>
      </c>
      <c r="G9" s="95" t="s">
        <v>259</v>
      </c>
      <c r="I9" s="97" t="s">
        <v>248</v>
      </c>
      <c r="J9" s="98" t="s">
        <v>255</v>
      </c>
      <c r="K9" s="98" t="s">
        <v>256</v>
      </c>
      <c r="L9" s="98" t="s">
        <v>257</v>
      </c>
      <c r="M9" s="98" t="s">
        <v>258</v>
      </c>
      <c r="N9" s="112" t="s">
        <v>259</v>
      </c>
    </row>
    <row r="10" spans="1:14" x14ac:dyDescent="0.2">
      <c r="B10" s="15" t="s">
        <v>249</v>
      </c>
      <c r="C10" s="5">
        <f>C11+C12</f>
        <v>215009.20454556661</v>
      </c>
      <c r="D10" s="5">
        <f t="shared" ref="D10:F10" si="2">D11+D12</f>
        <v>229681.78122098921</v>
      </c>
      <c r="E10" s="5">
        <f t="shared" si="2"/>
        <v>225153.19047385693</v>
      </c>
      <c r="F10" s="5">
        <f t="shared" si="2"/>
        <v>271575.72868935415</v>
      </c>
      <c r="G10" s="7">
        <f>SUM(C10:F10)</f>
        <v>941419.9049297669</v>
      </c>
      <c r="I10" s="100" t="s">
        <v>250</v>
      </c>
      <c r="J10" s="113">
        <v>21</v>
      </c>
      <c r="K10" s="113">
        <v>23</v>
      </c>
      <c r="L10" s="113">
        <v>24</v>
      </c>
      <c r="M10" s="113">
        <v>29</v>
      </c>
      <c r="N10" s="114">
        <v>97</v>
      </c>
    </row>
    <row r="11" spans="1:14" x14ac:dyDescent="0.2">
      <c r="B11" s="17" t="s">
        <v>251</v>
      </c>
      <c r="C11" s="8">
        <f>533005.978333014*('2022 IR Data Book'!$A$5)</f>
        <v>145130.41941213689</v>
      </c>
      <c r="D11" s="8">
        <f>586348.531544673*('2022 IR Data Book'!$A$5)</f>
        <v>159654.88524333524</v>
      </c>
      <c r="E11" s="8">
        <f>556350.512051748*('2022 IR Data Book'!$A$5)</f>
        <v>151486.82460702173</v>
      </c>
      <c r="F11" s="9">
        <f>673427.373818058*('2022 IR Data Book'!$A$5)</f>
        <v>183365.29265862278</v>
      </c>
      <c r="G11" s="10">
        <f>SUM(C11:F11)</f>
        <v>639637.42192111677</v>
      </c>
      <c r="I11" s="104" t="s">
        <v>252</v>
      </c>
      <c r="J11" s="105">
        <v>5</v>
      </c>
      <c r="K11" s="115">
        <v>6</v>
      </c>
      <c r="L11" s="115">
        <v>6</v>
      </c>
      <c r="M11" s="115">
        <v>7</v>
      </c>
      <c r="N11" s="116">
        <v>24</v>
      </c>
    </row>
    <row r="12" spans="1:14" x14ac:dyDescent="0.2">
      <c r="B12" s="18" t="s">
        <v>253</v>
      </c>
      <c r="C12" s="5">
        <f>256636.826281034*('2022 IR Data Book'!$A$5)</f>
        <v>69878.785133429716</v>
      </c>
      <c r="D12" s="5">
        <f>257180.778167532*('2022 IR Data Book'!$A$5)</f>
        <v>70026.89597765397</v>
      </c>
      <c r="E12" s="5">
        <f>270547.095282539*('2022 IR Data Book'!$A$5)</f>
        <v>73666.365866835215</v>
      </c>
      <c r="F12" s="6">
        <f>323961.647366464*('2022 IR Data Book'!$A$5)</f>
        <v>88210.436030731362</v>
      </c>
      <c r="G12" s="11">
        <f t="shared" ref="G12" si="3">SUM(C12:F12)</f>
        <v>301782.48300865025</v>
      </c>
      <c r="I12" s="108" t="s">
        <v>254</v>
      </c>
      <c r="J12" s="117">
        <v>16</v>
      </c>
      <c r="K12" s="117">
        <v>17</v>
      </c>
      <c r="L12" s="117">
        <v>18</v>
      </c>
      <c r="M12" s="117">
        <v>22</v>
      </c>
      <c r="N12" s="118">
        <v>73</v>
      </c>
    </row>
    <row r="13" spans="1:14" x14ac:dyDescent="0.2">
      <c r="B13" s="16"/>
      <c r="C13" s="12"/>
      <c r="D13" s="12"/>
      <c r="E13" s="12"/>
      <c r="F13" s="12"/>
      <c r="G13" s="12"/>
      <c r="I13" s="16"/>
      <c r="J13" s="12"/>
      <c r="K13" s="12"/>
      <c r="L13" s="12"/>
      <c r="M13" s="12"/>
      <c r="N13" s="12"/>
    </row>
    <row r="14" spans="1:14" ht="25.5" x14ac:dyDescent="0.2">
      <c r="B14" s="94" t="s">
        <v>237</v>
      </c>
      <c r="C14" s="95" t="s">
        <v>260</v>
      </c>
      <c r="D14" s="95" t="s">
        <v>261</v>
      </c>
      <c r="E14" s="95" t="s">
        <v>262</v>
      </c>
      <c r="F14" s="95" t="s">
        <v>263</v>
      </c>
      <c r="G14" s="95" t="s">
        <v>264</v>
      </c>
      <c r="I14" s="97" t="s">
        <v>248</v>
      </c>
      <c r="J14" s="98" t="s">
        <v>260</v>
      </c>
      <c r="K14" s="98" t="s">
        <v>261</v>
      </c>
      <c r="L14" s="98" t="s">
        <v>262</v>
      </c>
      <c r="M14" s="98" t="s">
        <v>263</v>
      </c>
      <c r="N14" s="112" t="s">
        <v>264</v>
      </c>
    </row>
    <row r="15" spans="1:14" x14ac:dyDescent="0.2">
      <c r="B15" s="15" t="s">
        <v>249</v>
      </c>
      <c r="C15" s="5">
        <f>C16+C17</f>
        <v>209228.90151624108</v>
      </c>
      <c r="D15" s="5">
        <f t="shared" ref="D15:F15" si="4">D16+D17</f>
        <v>250074.39159745848</v>
      </c>
      <c r="E15" s="5">
        <f t="shared" si="4"/>
        <v>290113.91282821569</v>
      </c>
      <c r="F15" s="5">
        <f t="shared" si="4"/>
        <v>322139.0415016372</v>
      </c>
      <c r="G15" s="7">
        <f>SUM(C15:F15)</f>
        <v>1071556.2474435526</v>
      </c>
      <c r="I15" s="100" t="s">
        <v>250</v>
      </c>
      <c r="J15" s="113">
        <v>24.89</v>
      </c>
      <c r="K15" s="113">
        <v>29</v>
      </c>
      <c r="L15" s="113">
        <v>32.616999999999997</v>
      </c>
      <c r="M15" s="113">
        <v>35</v>
      </c>
      <c r="N15" s="114">
        <v>121.50700000000001</v>
      </c>
    </row>
    <row r="16" spans="1:14" x14ac:dyDescent="0.2">
      <c r="B16" s="17" t="s">
        <v>251</v>
      </c>
      <c r="C16" s="8">
        <f>479423.365217863*('2022 IR Data Book'!$A$5)</f>
        <v>130540.58847080079</v>
      </c>
      <c r="D16" s="8">
        <f>582164.588216127*('2022 IR Data Book'!$A$5)</f>
        <v>158515.653274554</v>
      </c>
      <c r="E16" s="8">
        <f>715248.567909872*('2022 IR Data Book'!$A$5)</f>
        <v>194752.64605725426</v>
      </c>
      <c r="F16" s="9">
        <f>796492.326933316*('2022 IR Data Book'!$A$5)</f>
        <v>216874.23812375861</v>
      </c>
      <c r="G16" s="10">
        <f>SUM(C16:F16)</f>
        <v>700683.12592636759</v>
      </c>
      <c r="I16" s="104" t="s">
        <v>252</v>
      </c>
      <c r="J16" s="115">
        <v>5.19</v>
      </c>
      <c r="K16" s="115">
        <v>6</v>
      </c>
      <c r="L16" s="115">
        <v>6.53</v>
      </c>
      <c r="M16" s="115">
        <v>7</v>
      </c>
      <c r="N16" s="116">
        <v>24.720000000000002</v>
      </c>
    </row>
    <row r="17" spans="2:14" x14ac:dyDescent="0.2">
      <c r="B17" s="18" t="s">
        <v>253</v>
      </c>
      <c r="C17" s="5">
        <f>288990.698490684*('2022 IR Data Book'!$A$5)</f>
        <v>78688.313045440271</v>
      </c>
      <c r="D17" s="5">
        <f>336258.622364699*('2022 IR Data Book'!$A$5)</f>
        <v>91558.738322904479</v>
      </c>
      <c r="E17" s="5">
        <f>350223.788343033*('2022 IR Data Book'!$A$5)</f>
        <v>95361.266770961432</v>
      </c>
      <c r="F17" s="6">
        <f>386595.516885597*('2022 IR Data Book'!$A$5)</f>
        <v>105264.80337787862</v>
      </c>
      <c r="G17" s="11">
        <f t="shared" ref="G17" si="5">SUM(C17:F17)</f>
        <v>370873.12151718477</v>
      </c>
      <c r="I17" s="108" t="s">
        <v>254</v>
      </c>
      <c r="J17" s="117">
        <v>19.7</v>
      </c>
      <c r="K17" s="117">
        <v>23</v>
      </c>
      <c r="L17" s="117">
        <v>26.087</v>
      </c>
      <c r="M17" s="117">
        <v>28</v>
      </c>
      <c r="N17" s="119">
        <v>96.787000000000006</v>
      </c>
    </row>
    <row r="18" spans="2:14" x14ac:dyDescent="0.2">
      <c r="B18" s="16"/>
      <c r="C18" s="12"/>
      <c r="D18" s="12"/>
      <c r="E18" s="12"/>
      <c r="F18" s="12"/>
      <c r="G18" s="12"/>
      <c r="I18" s="16"/>
      <c r="J18" s="12"/>
      <c r="K18" s="12"/>
      <c r="L18" s="12"/>
      <c r="M18" s="12"/>
      <c r="N18" s="12"/>
    </row>
    <row r="19" spans="2:14" ht="25.5" x14ac:dyDescent="0.2">
      <c r="B19" s="94" t="s">
        <v>237</v>
      </c>
      <c r="C19" s="95" t="s">
        <v>265</v>
      </c>
      <c r="D19" s="95" t="s">
        <v>266</v>
      </c>
      <c r="E19" s="95" t="s">
        <v>267</v>
      </c>
      <c r="F19" s="95" t="s">
        <v>268</v>
      </c>
      <c r="G19" s="95" t="s">
        <v>269</v>
      </c>
      <c r="I19" s="97" t="s">
        <v>248</v>
      </c>
      <c r="J19" s="98" t="s">
        <v>265</v>
      </c>
      <c r="K19" s="98" t="s">
        <v>266</v>
      </c>
      <c r="L19" s="98" t="s">
        <v>267</v>
      </c>
      <c r="M19" s="98" t="s">
        <v>268</v>
      </c>
      <c r="N19" s="112" t="s">
        <v>269</v>
      </c>
    </row>
    <row r="20" spans="2:14" x14ac:dyDescent="0.2">
      <c r="B20" s="15" t="s">
        <v>249</v>
      </c>
      <c r="C20" s="5">
        <f>C21+C22</f>
        <v>272869.94230006775</v>
      </c>
      <c r="D20" s="5">
        <f t="shared" ref="D20:F20" si="6">D21+D22</f>
        <v>299728.11268442223</v>
      </c>
      <c r="E20" s="5">
        <f t="shared" si="6"/>
        <v>291251.90801540925</v>
      </c>
      <c r="F20" s="5">
        <f t="shared" si="6"/>
        <v>284170.26327185862</v>
      </c>
      <c r="G20" s="7">
        <f>SUM(C20:F20)</f>
        <v>1148020.2262717579</v>
      </c>
      <c r="I20" s="100" t="s">
        <v>250</v>
      </c>
      <c r="J20" s="113">
        <v>31.46</v>
      </c>
      <c r="K20" s="113">
        <v>33</v>
      </c>
      <c r="L20" s="113">
        <v>33.9</v>
      </c>
      <c r="M20" s="113">
        <v>35.489339000000001</v>
      </c>
      <c r="N20" s="114">
        <v>133.84933899999999</v>
      </c>
    </row>
    <row r="21" spans="2:14" x14ac:dyDescent="0.2">
      <c r="B21" s="17" t="s">
        <v>251</v>
      </c>
      <c r="C21" s="8">
        <f>646524.386045871*('2022 IR Data Book'!$A$5)</f>
        <v>176039.96788266377</v>
      </c>
      <c r="D21" s="8">
        <f>733555.542145953*('2022 IR Data Book'!$A$5)</f>
        <v>199737.39098893237</v>
      </c>
      <c r="E21" s="8">
        <f>608876.826084214*('2022 IR Data Book'!$A$5)</f>
        <v>165789.03939558187</v>
      </c>
      <c r="F21" s="9">
        <f>671392.92795456*('2022 IR Data Book'!$A$5)</f>
        <v>182811.34018258454</v>
      </c>
      <c r="G21" s="10">
        <f>SUM(C21:F21)</f>
        <v>724377.73844976258</v>
      </c>
      <c r="I21" s="104" t="s">
        <v>252</v>
      </c>
      <c r="J21" s="115">
        <v>6.2</v>
      </c>
      <c r="K21" s="115">
        <v>7.2</v>
      </c>
      <c r="L21" s="115">
        <v>6.3</v>
      </c>
      <c r="M21" s="120">
        <v>6.0524940000000003</v>
      </c>
      <c r="N21" s="121">
        <v>25.752493999999999</v>
      </c>
    </row>
    <row r="22" spans="2:14" x14ac:dyDescent="0.2">
      <c r="B22" s="18" t="s">
        <v>253</v>
      </c>
      <c r="C22" s="5">
        <f>355617.764045358*('2022 IR Data Book'!$A$5)</f>
        <v>96829.97441740401</v>
      </c>
      <c r="D22" s="5">
        <f>367225.924498856*('2022 IR Data Book'!$A$5)</f>
        <v>99990.721695489847</v>
      </c>
      <c r="E22" s="5">
        <f>460774.931293178*('2022 IR Data Book'!$A$5)</f>
        <v>125462.86861982736</v>
      </c>
      <c r="F22" s="6">
        <f>372250.780937668*('2022 IR Data Book'!$A$5)</f>
        <v>101358.92308927407</v>
      </c>
      <c r="G22" s="11">
        <f t="shared" ref="G22" si="7">SUM(C22:F22)</f>
        <v>423642.48782199534</v>
      </c>
      <c r="I22" s="108" t="s">
        <v>254</v>
      </c>
      <c r="J22" s="117">
        <v>25.26</v>
      </c>
      <c r="K22" s="117">
        <v>25.8</v>
      </c>
      <c r="L22" s="122">
        <v>27.6</v>
      </c>
      <c r="M22" s="123">
        <v>29.436845000000002</v>
      </c>
      <c r="N22" s="119">
        <v>108.096845</v>
      </c>
    </row>
    <row r="23" spans="2:14" x14ac:dyDescent="0.2">
      <c r="B23" s="16"/>
      <c r="C23" s="12"/>
      <c r="D23" s="12"/>
      <c r="E23" s="12"/>
      <c r="F23" s="12"/>
      <c r="G23" s="12"/>
      <c r="I23" s="16"/>
      <c r="J23" s="12"/>
      <c r="K23" s="12"/>
      <c r="L23" s="12"/>
      <c r="M23" s="12"/>
      <c r="N23" s="12"/>
    </row>
    <row r="24" spans="2:14" x14ac:dyDescent="0.2">
      <c r="B24" s="94" t="s">
        <v>237</v>
      </c>
      <c r="C24" s="95" t="s">
        <v>270</v>
      </c>
      <c r="D24" s="95" t="s">
        <v>271</v>
      </c>
      <c r="E24" s="95" t="s">
        <v>272</v>
      </c>
      <c r="F24" s="95" t="s">
        <v>312</v>
      </c>
      <c r="G24" s="95" t="s">
        <v>274</v>
      </c>
      <c r="I24" s="97" t="s">
        <v>248</v>
      </c>
      <c r="J24" s="98" t="s">
        <v>270</v>
      </c>
      <c r="K24" s="98" t="s">
        <v>271</v>
      </c>
      <c r="L24" s="98" t="s">
        <v>272</v>
      </c>
      <c r="M24" s="98" t="s">
        <v>273</v>
      </c>
      <c r="N24" s="112" t="s">
        <v>274</v>
      </c>
    </row>
    <row r="25" spans="2:14" x14ac:dyDescent="0.2">
      <c r="B25" s="15" t="s">
        <v>249</v>
      </c>
      <c r="C25" s="5">
        <f>C26+C27</f>
        <v>248078.17858441075</v>
      </c>
      <c r="D25" s="5">
        <f t="shared" ref="D25:F25" si="8">D26+D27</f>
        <v>254904.72738179786</v>
      </c>
      <c r="E25" s="5">
        <f t="shared" si="8"/>
        <v>248607.34814726788</v>
      </c>
      <c r="F25" s="5">
        <f t="shared" si="8"/>
        <v>269506.69813361298</v>
      </c>
      <c r="G25" s="7">
        <f>SUM(C25:F25)</f>
        <v>1021096.9522470895</v>
      </c>
      <c r="I25" s="100" t="s">
        <v>250</v>
      </c>
      <c r="J25" s="113">
        <f>J26+J27</f>
        <v>30.348113000000001</v>
      </c>
      <c r="K25" s="113">
        <f>K26+K27</f>
        <v>30.031293999999999</v>
      </c>
      <c r="L25" s="113">
        <f>L26+L27</f>
        <v>29.605456</v>
      </c>
      <c r="M25" s="113">
        <f t="shared" ref="M25:N25" si="9">M26+M27</f>
        <v>32.288510000000002</v>
      </c>
      <c r="N25" s="113">
        <f t="shared" si="9"/>
        <v>122.27337300000001</v>
      </c>
    </row>
    <row r="26" spans="2:14" x14ac:dyDescent="0.2">
      <c r="B26" s="17" t="s">
        <v>251</v>
      </c>
      <c r="C26" s="8">
        <f>557745.393557364*('2022 IR Data Book'!$A$5)</f>
        <v>151866.63223802319</v>
      </c>
      <c r="D26" s="8">
        <f>587090.845982728*('2022 IR Data Book'!$A$5)</f>
        <v>159857.00756486628</v>
      </c>
      <c r="E26" s="8">
        <f>496499.899981158*(('2022 IR Data Book'!$A$5))</f>
        <v>135190.30114391929</v>
      </c>
      <c r="F26" s="8">
        <f>607548.926899381*(('2022 IR Data Book'!$A$5))</f>
        <v>165427.47015721313</v>
      </c>
      <c r="G26" s="10">
        <f>SUM(C26:F26)</f>
        <v>612341.41110402183</v>
      </c>
      <c r="I26" s="104" t="s">
        <v>252</v>
      </c>
      <c r="J26" s="115">
        <v>5.3397690000000004</v>
      </c>
      <c r="K26" s="115">
        <v>5.9301339999999998</v>
      </c>
      <c r="L26" s="115">
        <v>5.1237760000000003</v>
      </c>
      <c r="M26" s="120">
        <f>'Regional Breakdown'!C210/1000000</f>
        <v>5.8111730000000001</v>
      </c>
      <c r="N26" s="121">
        <f>SUM(J26:M26)</f>
        <v>22.204851999999999</v>
      </c>
    </row>
    <row r="27" spans="2:14" x14ac:dyDescent="0.2">
      <c r="B27" s="18" t="s">
        <v>253</v>
      </c>
      <c r="C27" s="5">
        <f>353346.525111743*('2022 IR Data Book'!$A$5)</f>
        <v>96211.546346387579</v>
      </c>
      <c r="D27" s="5">
        <f>349072.255799663*('2022 IR Data Book'!$A$5)</f>
        <v>95047.719816931596</v>
      </c>
      <c r="E27" s="5">
        <f>416535.446824498*(('2022 IR Data Book'!$A$5))</f>
        <v>113417.04700334858</v>
      </c>
      <c r="F27" s="5">
        <f>382241.372666126*(('2022 IR Data Book'!$A$5))</f>
        <v>104079.22797639982</v>
      </c>
      <c r="G27" s="11">
        <f t="shared" ref="G27" si="10">SUM(C27:F27)</f>
        <v>408755.54114306759</v>
      </c>
      <c r="H27" s="4"/>
      <c r="I27" s="108" t="s">
        <v>254</v>
      </c>
      <c r="J27" s="117">
        <v>25.008344000000001</v>
      </c>
      <c r="K27" s="117">
        <v>24.10116</v>
      </c>
      <c r="L27" s="122">
        <v>24.481680000000001</v>
      </c>
      <c r="M27" s="123">
        <f>'Regional Breakdown'!C209/1000000</f>
        <v>26.477336999999999</v>
      </c>
      <c r="N27" s="123">
        <f>SUM(J27:M27)</f>
        <v>100.068521</v>
      </c>
    </row>
    <row r="31" spans="2:14" x14ac:dyDescent="0.2">
      <c r="C31" s="4"/>
      <c r="D31" s="4"/>
      <c r="E31" s="4"/>
      <c r="F31" s="4"/>
      <c r="G31" s="4"/>
    </row>
    <row r="32" spans="2:14" x14ac:dyDescent="0.2">
      <c r="C32" s="4"/>
      <c r="D32" s="4"/>
    </row>
    <row r="34" spans="3:4" x14ac:dyDescent="0.2">
      <c r="C34" s="4"/>
      <c r="D34" s="4"/>
    </row>
    <row r="35" spans="3:4" x14ac:dyDescent="0.2">
      <c r="C35" s="4"/>
      <c r="D35" s="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DD68-F16B-44D9-A77F-AE595237758B}">
  <dimension ref="B2:L18"/>
  <sheetViews>
    <sheetView showGridLines="0" workbookViewId="0">
      <selection activeCell="I29" sqref="I29"/>
    </sheetView>
  </sheetViews>
  <sheetFormatPr defaultColWidth="9.140625" defaultRowHeight="12.75" x14ac:dyDescent="0.2"/>
  <cols>
    <col min="1" max="1" width="9.140625" style="20"/>
    <col min="2" max="2" width="32" style="20" bestFit="1" customWidth="1"/>
    <col min="3" max="3" width="11.140625" style="20" customWidth="1"/>
    <col min="4" max="4" width="12.5703125" style="20" customWidth="1"/>
    <col min="5" max="5" width="12" style="20" customWidth="1"/>
    <col min="6" max="6" width="10.42578125" style="20" customWidth="1"/>
    <col min="7" max="7" width="11.5703125" style="20" customWidth="1"/>
    <col min="8" max="8" width="11.140625" style="20" customWidth="1"/>
    <col min="9" max="10" width="11" style="20" bestFit="1" customWidth="1"/>
    <col min="11" max="11" width="9.140625" style="20"/>
    <col min="12" max="12" width="9.42578125" style="20" bestFit="1" customWidth="1"/>
    <col min="13" max="16384" width="9.140625" style="20"/>
  </cols>
  <sheetData>
    <row r="2" spans="2:12" x14ac:dyDescent="0.2">
      <c r="B2" s="230" t="s">
        <v>278</v>
      </c>
      <c r="C2" s="230" t="s">
        <v>66</v>
      </c>
      <c r="D2" s="230" t="s">
        <v>67</v>
      </c>
      <c r="E2" s="230" t="s">
        <v>68</v>
      </c>
      <c r="F2" s="230" t="s">
        <v>69</v>
      </c>
      <c r="G2" s="230" t="s">
        <v>70</v>
      </c>
      <c r="H2" s="230" t="s">
        <v>71</v>
      </c>
      <c r="I2" s="230" t="s">
        <v>276</v>
      </c>
      <c r="J2" s="230" t="s">
        <v>306</v>
      </c>
    </row>
    <row r="3" spans="2:12" x14ac:dyDescent="0.2">
      <c r="B3" s="20" t="s">
        <v>279</v>
      </c>
      <c r="C3" s="231">
        <f>'Group Profit &amp; Loss Stm'!C10/'Group Profit &amp; Loss Stm'!$C$8</f>
        <v>0.25169393929398792</v>
      </c>
      <c r="D3" s="231">
        <f>'Group Profit &amp; Loss Stm'!D10/'Group Profit &amp; Loss Stm'!$D$8</f>
        <v>0.24741187187405111</v>
      </c>
      <c r="E3" s="231">
        <f>'Group Profit &amp; Loss Stm'!E10/'Group Profit &amp; Loss Stm'!$E$8</f>
        <v>0.24365610057177886</v>
      </c>
      <c r="F3" s="231">
        <f>'Group Profit &amp; Loss Stm'!F10/'Group Profit &amp; Loss Stm'!$F$8</f>
        <v>0.20320561945214088</v>
      </c>
      <c r="G3" s="231">
        <f>'Group Profit &amp; Loss Stm'!H10/'Group Profit &amp; Loss Stm'!$H$8</f>
        <v>0.23748544556615778</v>
      </c>
      <c r="H3" s="231">
        <f>'Group Profit &amp; Loss Stm'!I10/'Group Profit &amp; Loss Stm'!$I$8</f>
        <v>0.24965421867526977</v>
      </c>
      <c r="I3" s="231">
        <f>'Group Profit &amp; Loss Stm'!J10/'Group Profit &amp; Loss Stm'!$J$8</f>
        <v>0.22494442913815538</v>
      </c>
      <c r="J3" s="231">
        <f>'Group Profit &amp; Loss Stm'!K10/'Group Profit &amp; Loss Stm'!$K$8</f>
        <v>0.24817210253908153</v>
      </c>
    </row>
    <row r="4" spans="2:12" x14ac:dyDescent="0.2">
      <c r="B4" s="20" t="s">
        <v>280</v>
      </c>
      <c r="C4" s="231">
        <f>'Group Profit &amp; Loss Stm'!C16/'Group Profit &amp; Loss Stm'!$C$8</f>
        <v>5.5760516459370392E-2</v>
      </c>
      <c r="D4" s="231">
        <f>'Group Profit &amp; Loss Stm'!D16/'Group Profit &amp; Loss Stm'!$D$8</f>
        <v>6.3371661118972716E-2</v>
      </c>
      <c r="E4" s="231">
        <f>'Group Profit &amp; Loss Stm'!E16/'Group Profit &amp; Loss Stm'!$E$8</f>
        <v>4.6542913526991823E-2</v>
      </c>
      <c r="F4" s="231">
        <f>'Group Profit &amp; Loss Stm'!F16/'Group Profit &amp; Loss Stm'!$F$8</f>
        <v>3.6393026567672911E-2</v>
      </c>
      <c r="G4" s="231">
        <f>'Group Profit &amp; Loss Stm'!H16/'Group Profit &amp; Loss Stm'!$H$8</f>
        <v>5.1766680577612842E-2</v>
      </c>
      <c r="H4" s="231">
        <f>'Group Profit &amp; Loss Stm'!I16/'Group Profit &amp; Loss Stm'!$I$8</f>
        <v>4.1915201644511686E-2</v>
      </c>
      <c r="I4" s="231">
        <f>'Group Profit &amp; Loss Stm'!J16/'Group Profit &amp; Loss Stm'!$J$8</f>
        <v>3.5693055943467625E-2</v>
      </c>
      <c r="J4" s="231">
        <f>'Group Profit &amp; Loss Stm'!K16/'Group Profit &amp; Loss Stm'!$K$8</f>
        <v>3.640223237681358E-2</v>
      </c>
      <c r="L4" s="28"/>
    </row>
    <row r="5" spans="2:12" x14ac:dyDescent="0.2">
      <c r="B5" s="20" t="s">
        <v>184</v>
      </c>
      <c r="C5" s="231">
        <v>0.1191944670761533</v>
      </c>
      <c r="D5" s="231">
        <v>0.12267394038048969</v>
      </c>
      <c r="E5" s="231">
        <v>0.11162854256833539</v>
      </c>
      <c r="F5" s="231">
        <v>9.2863373116938347E-2</v>
      </c>
      <c r="G5" s="231">
        <v>0.11728283799012065</v>
      </c>
      <c r="H5" s="231">
        <v>0.10255493410220939</v>
      </c>
      <c r="I5" s="231">
        <v>9.9110944862207243E-2</v>
      </c>
      <c r="J5" s="231">
        <v>9.6755640701973594E-2</v>
      </c>
      <c r="L5" s="28"/>
    </row>
    <row r="6" spans="2:12" x14ac:dyDescent="0.2">
      <c r="B6" s="20" t="s">
        <v>281</v>
      </c>
      <c r="C6" s="231">
        <f>'Group Profit &amp; Loss Stm'!C34/'Group Profit &amp; Loss Stm'!$C$8</f>
        <v>3.2291342821030883E-2</v>
      </c>
      <c r="D6" s="231">
        <f>'Group Profit &amp; Loss Stm'!D34/'Group Profit &amp; Loss Stm'!$D$8</f>
        <v>4.1673589348427645E-2</v>
      </c>
      <c r="E6" s="231">
        <f>'Group Profit &amp; Loss Stm'!E34/'Group Profit &amp; Loss Stm'!$E$8</f>
        <v>4.6404006010658243E-2</v>
      </c>
      <c r="F6" s="231">
        <f>'Group Profit &amp; Loss Stm'!F34/'Group Profit &amp; Loss Stm'!$F$8</f>
        <v>2.8697306001383753E-2</v>
      </c>
      <c r="G6" s="231">
        <f>'Group Profit &amp; Loss Stm'!H34/'Group Profit &amp; Loss Stm'!$H$8</f>
        <v>3.264632357052049E-2</v>
      </c>
      <c r="H6" s="231">
        <f>'Group Profit &amp; Loss Stm'!I34/'Group Profit &amp; Loss Stm'!$I$8</f>
        <v>2.9387293737611783E-2</v>
      </c>
      <c r="I6" s="231">
        <f>'Group Profit &amp; Loss Stm'!J34/'Group Profit &amp; Loss Stm'!$J$8</f>
        <v>2.7795580377731208E-2</v>
      </c>
      <c r="J6" s="231">
        <f>'Group Profit &amp; Loss Stm'!K34/'Group Profit &amp; Loss Stm'!$K$8</f>
        <v>2.207274083079341E-2</v>
      </c>
    </row>
    <row r="7" spans="2:12" x14ac:dyDescent="0.2">
      <c r="B7" s="20" t="s">
        <v>284</v>
      </c>
      <c r="C7" s="31">
        <f>'Group Profit &amp; Loss Stm'!C41</f>
        <v>7.5610180910859652E-3</v>
      </c>
      <c r="D7" s="31">
        <f>'Group Profit &amp; Loss Stm'!D41</f>
        <v>1.1236451004656702E-2</v>
      </c>
      <c r="E7" s="31">
        <f>'Group Profit &amp; Loss Stm'!E41</f>
        <v>5.8303305085484298E-3</v>
      </c>
      <c r="F7" s="31">
        <f>'Group Profit &amp; Loss Stm'!F41</f>
        <v>8.716669567325832E-3</v>
      </c>
      <c r="G7" s="31">
        <f>'Group Profit &amp; Loss Stm'!H41</f>
        <v>8.6467777389232711E-3</v>
      </c>
      <c r="H7" s="31">
        <f>'Group Profit &amp; Loss Stm'!I41</f>
        <v>8.2930991506991389E-3</v>
      </c>
      <c r="I7" s="31">
        <f>'Group Profit &amp; Loss Stm'!J41</f>
        <v>6.8683005087124801E-3</v>
      </c>
      <c r="J7" s="31">
        <f>'Group Profit &amp; Loss Stm'!K41</f>
        <v>6.1362524909414932E-3</v>
      </c>
    </row>
    <row r="10" spans="2:12" x14ac:dyDescent="0.2">
      <c r="B10" s="192" t="s">
        <v>60</v>
      </c>
      <c r="C10" s="193">
        <v>2017</v>
      </c>
      <c r="D10" s="193">
        <v>2018</v>
      </c>
      <c r="E10" s="193">
        <v>2019</v>
      </c>
      <c r="F10" s="193">
        <v>2020</v>
      </c>
      <c r="G10" s="193">
        <v>2021</v>
      </c>
      <c r="H10" s="193">
        <v>2022</v>
      </c>
    </row>
    <row r="11" spans="2:12" x14ac:dyDescent="0.2">
      <c r="B11" s="71" t="s">
        <v>61</v>
      </c>
      <c r="C11" s="2">
        <v>0.16299979509596338</v>
      </c>
      <c r="D11" s="2">
        <v>0.16500034150672768</v>
      </c>
      <c r="E11" s="2">
        <v>0.16500000000885801</v>
      </c>
      <c r="F11" s="2">
        <f>'Group Profit &amp; Loss Stm'!F47</f>
        <v>0.13000000000697903</v>
      </c>
      <c r="G11" s="2">
        <f>'Group Profit &amp; Loss Stm'!G47</f>
        <v>0.13</v>
      </c>
      <c r="H11" s="259">
        <f>'Group Profit &amp; Loss Stm'!H47</f>
        <v>0.1</v>
      </c>
    </row>
    <row r="12" spans="2:12" x14ac:dyDescent="0.2">
      <c r="B12" s="71" t="s">
        <v>62</v>
      </c>
      <c r="C12" s="2">
        <v>0.54811333971828136</v>
      </c>
      <c r="D12" s="2">
        <v>0.49037725699554435</v>
      </c>
      <c r="E12" s="2">
        <v>0.48567852837348008</v>
      </c>
      <c r="F12" s="2">
        <f>'Group Profit &amp; Loss Stm'!F48</f>
        <v>0.71378800837877832</v>
      </c>
      <c r="G12" s="2">
        <f>'Group Profit &amp; Loss Stm'!G48</f>
        <v>0.84389534501584196</v>
      </c>
      <c r="H12" s="259">
        <f>'Group Profit &amp; Loss Stm'!H48</f>
        <v>0.84399999999999997</v>
      </c>
    </row>
    <row r="13" spans="2:12" x14ac:dyDescent="0.2">
      <c r="B13" s="23" t="s">
        <v>63</v>
      </c>
      <c r="C13" s="219">
        <v>0.16299999999999998</v>
      </c>
      <c r="D13" s="219">
        <v>0.16500000000000001</v>
      </c>
      <c r="E13" s="219">
        <v>0.16500000000000001</v>
      </c>
      <c r="F13" s="219">
        <f>'Group Profit &amp; Loss Stm'!F49</f>
        <v>0.13</v>
      </c>
      <c r="G13" s="219">
        <f>'Group Profit &amp; Loss Stm'!G49</f>
        <v>0.13</v>
      </c>
      <c r="H13" s="219">
        <f>'Group Profit &amp; Loss Stm'!H49</f>
        <v>9.5329999999999998E-2</v>
      </c>
    </row>
    <row r="16" spans="2:12" x14ac:dyDescent="0.2">
      <c r="B16" s="230" t="s">
        <v>278</v>
      </c>
      <c r="C16" s="230" t="s">
        <v>292</v>
      </c>
      <c r="D16" s="230" t="s">
        <v>170</v>
      </c>
      <c r="E16" s="230" t="s">
        <v>171</v>
      </c>
      <c r="F16" s="230" t="s">
        <v>289</v>
      </c>
      <c r="G16" s="230" t="s">
        <v>173</v>
      </c>
      <c r="H16" s="230" t="s">
        <v>174</v>
      </c>
      <c r="I16" s="230" t="s">
        <v>290</v>
      </c>
      <c r="J16" s="230" t="s">
        <v>313</v>
      </c>
    </row>
    <row r="17" spans="2:10" x14ac:dyDescent="0.2">
      <c r="B17" s="20" t="s">
        <v>282</v>
      </c>
      <c r="C17" s="233">
        <v>0.56296818351863021</v>
      </c>
      <c r="D17" s="233">
        <v>0.60405321422514335</v>
      </c>
      <c r="E17" s="233">
        <v>0.54180898049493065</v>
      </c>
      <c r="F17" s="233">
        <v>0.47</v>
      </c>
      <c r="G17" s="233">
        <v>0.46822274462844077</v>
      </c>
      <c r="H17" s="233">
        <v>0.50170260453748983</v>
      </c>
      <c r="I17" s="233">
        <v>0.49113760549540303</v>
      </c>
      <c r="J17" s="233">
        <v>0.875</v>
      </c>
    </row>
    <row r="18" spans="2:10" x14ac:dyDescent="0.2">
      <c r="B18" s="20" t="s">
        <v>283</v>
      </c>
      <c r="C18" s="233">
        <v>0.25528426376103186</v>
      </c>
      <c r="D18" s="233">
        <v>0.26609696286792661</v>
      </c>
      <c r="E18" s="233">
        <v>0.21035090015015731</v>
      </c>
      <c r="F18" s="233">
        <v>0.11899999999999999</v>
      </c>
      <c r="G18" s="233">
        <v>0.12092285126692787</v>
      </c>
      <c r="H18" s="233">
        <v>0.11470692493252921</v>
      </c>
      <c r="I18" s="233">
        <v>0.11704386914430294</v>
      </c>
      <c r="J18" s="233">
        <v>0.501</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3F87-6602-416A-B53F-F27BAC4ED694}">
  <dimension ref="B3:F13"/>
  <sheetViews>
    <sheetView showGridLines="0" workbookViewId="0">
      <selection activeCell="Q40" sqref="Q40"/>
    </sheetView>
  </sheetViews>
  <sheetFormatPr defaultColWidth="9.140625" defaultRowHeight="12.75" x14ac:dyDescent="0.2"/>
  <cols>
    <col min="1" max="1" width="3.140625" style="20" customWidth="1"/>
    <col min="2" max="2" width="32" style="20" bestFit="1" customWidth="1"/>
    <col min="3" max="3" width="11.140625" style="20" customWidth="1"/>
    <col min="4" max="4" width="12.5703125" style="20" customWidth="1"/>
    <col min="5" max="5" width="12" style="20" customWidth="1"/>
    <col min="6" max="6" width="11" style="20" bestFit="1" customWidth="1"/>
    <col min="7" max="16384" width="9.140625" style="20"/>
  </cols>
  <sheetData>
    <row r="3" spans="2:6" x14ac:dyDescent="0.2">
      <c r="B3" s="230" t="s">
        <v>278</v>
      </c>
      <c r="C3" s="230" t="s">
        <v>69</v>
      </c>
      <c r="D3" s="230" t="s">
        <v>306</v>
      </c>
      <c r="E3" s="230" t="s">
        <v>172</v>
      </c>
      <c r="F3" s="230" t="s">
        <v>313</v>
      </c>
    </row>
    <row r="4" spans="2:6" x14ac:dyDescent="0.2">
      <c r="B4" s="20" t="s">
        <v>301</v>
      </c>
      <c r="C4" s="28">
        <f>1611545*((('2022 IR Data Book'!$A$5)))</f>
        <v>438802.21096770681</v>
      </c>
      <c r="D4" s="28">
        <f>1534233.85343604*((('2022 IR Data Book'!$A$5)))</f>
        <v>417751.41682623752</v>
      </c>
      <c r="E4" s="28">
        <f>6068805*(('2022 IR Data Book'!$A$5))</f>
        <v>1652454.664270544</v>
      </c>
      <c r="F4" s="28">
        <f>5926004.87989826*(('2022 IR Data Book'!$A$5))</f>
        <v>1613572.0960350323</v>
      </c>
    </row>
    <row r="5" spans="2:6" x14ac:dyDescent="0.2">
      <c r="B5" s="20" t="s">
        <v>302</v>
      </c>
      <c r="C5" s="28">
        <f>1611545*((('2022 IR Data Book'!$A$5)))</f>
        <v>438802.21096770681</v>
      </c>
      <c r="D5" s="28">
        <f>1461072.81639334*((('2022 IR Data Book'!$A$5)))</f>
        <v>397830.64215905353</v>
      </c>
      <c r="E5" s="28">
        <f>6068805*(('2022 IR Data Book'!$A$5))</f>
        <v>1652454.664270544</v>
      </c>
      <c r="F5" s="28">
        <f>5852843.84173545*(('2022 IR Data Book'!$A$5))</f>
        <v>1593651.3210628573</v>
      </c>
    </row>
    <row r="6" spans="2:6" x14ac:dyDescent="0.2">
      <c r="B6" s="20" t="s">
        <v>295</v>
      </c>
      <c r="C6" s="90">
        <f>327475*((('2022 IR Data Book'!$A$5)))</f>
        <v>89167.075096661763</v>
      </c>
      <c r="D6" s="90">
        <f>380754.04119386*((('2022 IR Data Book'!$A$5)))</f>
        <v>103674.24745244785</v>
      </c>
      <c r="E6" s="90">
        <f>1430867*(('2022 IR Data Book'!$A$5))</f>
        <v>389606.00119806128</v>
      </c>
      <c r="F6" s="90">
        <f>1430867*(('2022 IR Data Book'!$A$5))</f>
        <v>389606.00119806128</v>
      </c>
    </row>
    <row r="7" spans="2:6" x14ac:dyDescent="0.2">
      <c r="B7" s="20" t="s">
        <v>223</v>
      </c>
      <c r="C7" s="241">
        <f>C6/C4</f>
        <v>0.20320561945214063</v>
      </c>
      <c r="D7" s="241">
        <f>D6/D4</f>
        <v>0.24817210253908209</v>
      </c>
      <c r="E7" s="241">
        <f>E6/E4</f>
        <v>0.23577409391140428</v>
      </c>
      <c r="F7" s="241">
        <f>F6/F4</f>
        <v>0.24145558922060248</v>
      </c>
    </row>
    <row r="8" spans="2:6" x14ac:dyDescent="0.2">
      <c r="B8" s="20" t="s">
        <v>296</v>
      </c>
      <c r="C8" s="90">
        <f>336476.036732767*((('2022 IR Data Book'!$A$5)))</f>
        <v>91617.937355760761</v>
      </c>
      <c r="D8" s="90">
        <f>355280.064961517*((('2022 IR Data Book'!$A$5)))</f>
        <v>96738.023460631972</v>
      </c>
      <c r="E8" s="90">
        <f>1439865.38175507*(('2022 IR Data Book'!$A$5))</f>
        <v>392056.1405421418</v>
      </c>
      <c r="F8" s="90">
        <f>1407009.04878298*(('2022 IR Data Book'!$A$5))</f>
        <v>383109.79926563741</v>
      </c>
    </row>
    <row r="9" spans="2:6" x14ac:dyDescent="0.2">
      <c r="B9" s="20" t="s">
        <v>297</v>
      </c>
      <c r="C9" s="241">
        <f>C8/C5</f>
        <v>0.20879096564648641</v>
      </c>
      <c r="D9" s="241">
        <f>D8/D5</f>
        <v>0.24316383206589678</v>
      </c>
      <c r="E9" s="241">
        <f>E8/E5</f>
        <v>0.23725682103067575</v>
      </c>
      <c r="F9" s="241">
        <f>F8/F5</f>
        <v>0.24039750364598522</v>
      </c>
    </row>
    <row r="10" spans="2:6" x14ac:dyDescent="0.2">
      <c r="B10" s="20" t="s">
        <v>298</v>
      </c>
      <c r="C10" s="90">
        <f>46247*((('2022 IR Data Book'!$A$5)))</f>
        <v>12592.441322224036</v>
      </c>
      <c r="D10" s="90">
        <f>33864.7462207237*((('2022 IR Data Book'!$A$5)))</f>
        <v>9220.9187553024276</v>
      </c>
      <c r="E10" s="90">
        <f>225541*(('2022 IR Data Book'!$A$5))</f>
        <v>61411.80634972499</v>
      </c>
      <c r="F10" s="90">
        <f>165378.941570683*(('2022 IR Data Book'!$A$5))</f>
        <v>45030.480196776938</v>
      </c>
    </row>
    <row r="11" spans="2:6" x14ac:dyDescent="0.2">
      <c r="B11" s="20" t="s">
        <v>299</v>
      </c>
      <c r="C11" s="90">
        <f>31859.805*((('2022 IR Data Book'!$A$5)))</f>
        <v>8675</v>
      </c>
      <c r="D11" s="90">
        <f>45294.9509916978*((('2022 IR Data Book'!$A$5)))</f>
        <v>12333.211074360888</v>
      </c>
      <c r="E11" s="90">
        <f>158270.697*(('2022 IR Data Book'!$A$5))</f>
        <v>43094.999999999993</v>
      </c>
      <c r="F11" s="90">
        <f>172993.327019196*(('2022 IR Data Book'!$A$5))</f>
        <v>47103.775804388169</v>
      </c>
    </row>
    <row r="12" spans="2:6" x14ac:dyDescent="0.2">
      <c r="B12" s="20" t="s">
        <v>300</v>
      </c>
      <c r="C12" s="241">
        <f>C11/C5</f>
        <v>1.9769727187264396E-2</v>
      </c>
      <c r="D12" s="241">
        <f>D11/D5</f>
        <v>3.1001159205403903E-2</v>
      </c>
      <c r="E12" s="241">
        <f>E11/E5</f>
        <v>2.6079384162120876E-2</v>
      </c>
      <c r="F12" s="241">
        <f>F11/F5</f>
        <v>2.9557140374328023E-2</v>
      </c>
    </row>
    <row r="13" spans="2:6" x14ac:dyDescent="0.2">
      <c r="E13" s="90"/>
      <c r="F13" s="9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3B09D-8F59-4687-B8D2-95A4C8FAC1C0}">
  <dimension ref="B4:B19"/>
  <sheetViews>
    <sheetView showGridLines="0" workbookViewId="0">
      <selection activeCell="K29" sqref="K29"/>
    </sheetView>
  </sheetViews>
  <sheetFormatPr defaultColWidth="9.140625" defaultRowHeight="12.75" x14ac:dyDescent="0.2"/>
  <cols>
    <col min="1" max="1" width="9.140625" style="20"/>
    <col min="2" max="2" width="9.140625" style="181"/>
    <col min="3" max="16384" width="9.140625" style="20"/>
  </cols>
  <sheetData>
    <row r="4" spans="2:2" x14ac:dyDescent="0.2">
      <c r="B4" s="180" t="s">
        <v>8</v>
      </c>
    </row>
    <row r="5" spans="2:2" x14ac:dyDescent="0.2">
      <c r="B5" s="181" t="s">
        <v>318</v>
      </c>
    </row>
    <row r="8" spans="2:2" x14ac:dyDescent="0.2">
      <c r="B8" s="19" t="s">
        <v>9</v>
      </c>
    </row>
    <row r="9" spans="2:2" x14ac:dyDescent="0.2">
      <c r="B9" s="19" t="s">
        <v>10</v>
      </c>
    </row>
    <row r="10" spans="2:2" x14ac:dyDescent="0.2">
      <c r="B10" s="19" t="s">
        <v>11</v>
      </c>
    </row>
    <row r="11" spans="2:2" x14ac:dyDescent="0.2">
      <c r="B11" s="19" t="s">
        <v>12</v>
      </c>
    </row>
    <row r="12" spans="2:2" x14ac:dyDescent="0.2">
      <c r="B12" s="182" t="s">
        <v>13</v>
      </c>
    </row>
    <row r="13" spans="2:2" x14ac:dyDescent="0.2">
      <c r="B13" s="182" t="s">
        <v>14</v>
      </c>
    </row>
    <row r="14" spans="2:2" x14ac:dyDescent="0.2">
      <c r="B14" s="19" t="s">
        <v>15</v>
      </c>
    </row>
    <row r="15" spans="2:2" x14ac:dyDescent="0.2">
      <c r="B15" s="182" t="s">
        <v>16</v>
      </c>
    </row>
    <row r="16" spans="2:2" x14ac:dyDescent="0.2">
      <c r="B16" s="182" t="s">
        <v>17</v>
      </c>
    </row>
    <row r="17" spans="2:2" x14ac:dyDescent="0.2">
      <c r="B17" s="182" t="s">
        <v>18</v>
      </c>
    </row>
    <row r="18" spans="2:2" x14ac:dyDescent="0.2">
      <c r="B18" s="19" t="s">
        <v>278</v>
      </c>
    </row>
    <row r="19" spans="2:2" x14ac:dyDescent="0.2">
      <c r="B19" s="19" t="s">
        <v>320</v>
      </c>
    </row>
  </sheetData>
  <hyperlinks>
    <hyperlink ref="B8" location="'Group Profit &amp; Loss Stm'!A1" display="Income Statement" xr:uid="{5E77029C-D4B0-46F2-A567-1DDA09D60EFD}"/>
    <hyperlink ref="B9" location="'Group Balance Sheet'!A1" display="Balance Sheet" xr:uid="{EF42CBB8-3361-49C5-8312-EE6A036945FA}"/>
    <hyperlink ref="B10" location="'Group CF and CAPEX'!A1" display="Cashflow and Capex " xr:uid="{EFB99A7D-2BF4-47E8-AA75-A43E5A1E2DEA}"/>
    <hyperlink ref="B11" location="'Aramex Courier'!A1" display="Aramex Courier Product " xr:uid="{B2EF911D-3C6D-4DFB-86FC-BDFE2AD5BD16}"/>
    <hyperlink ref="B12" location="'Aramex Freight'!A1" display="Aramex Freight Product" xr:uid="{5E637270-6392-4993-A721-9CFED8ECAA03}"/>
    <hyperlink ref="B13" location="'Aramex Logistics'!A1" display="Aramex Logistics Product" xr:uid="{2C25CBA1-856C-49A6-BAC4-242B1B96DE49}"/>
    <hyperlink ref="B14" location="'Regional Breakdown'!A1" display="Regional Breakdown" xr:uid="{F61F82BE-0B45-4964-AAF8-19A0A950DC76}"/>
    <hyperlink ref="B15" location="'GP Recflassification'!A1" display="GP Reclassification 2020 " xr:uid="{12AE498F-2996-4330-9F2A-358940DA04DA}"/>
    <hyperlink ref="B16" location="Historic_Product_Breakdown!A1" display="Historic Product Breakdown Key Financials" xr:uid="{49083360-0C32-490F-B6A2-1F03951C06F7}"/>
    <hyperlink ref="B17" location="'Historic Express Rev_Vol_ Data'!A1" display="Historic Express Volume Data " xr:uid="{5C361A7C-BA0D-4CA0-85CC-C88649AD6A83}"/>
    <hyperlink ref="B18" location="'Key figures and ratios'!A1" display="Key Figures and Ratios" xr:uid="{C276FA74-90F3-4197-B554-05677B563A47}"/>
    <hyperlink ref="B19" location="Normalised!A1" display="Normalizations" xr:uid="{A48C218A-0112-43D8-88A5-37D820A50CE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72C2E-26A6-42AF-B17B-CE7FE55CFB4A}">
  <dimension ref="A1:T49"/>
  <sheetViews>
    <sheetView showGridLines="0" workbookViewId="0">
      <pane xSplit="2" ySplit="7" topLeftCell="C8" activePane="bottomRight" state="frozen"/>
      <selection pane="topRight" activeCell="C1" sqref="C1"/>
      <selection pane="bottomLeft" activeCell="A8" sqref="A8"/>
      <selection pane="bottomRight" activeCell="O6" sqref="O6"/>
    </sheetView>
  </sheetViews>
  <sheetFormatPr defaultColWidth="9.140625" defaultRowHeight="12.75" x14ac:dyDescent="0.2"/>
  <cols>
    <col min="1" max="1" width="4.85546875" style="20" customWidth="1"/>
    <col min="2" max="2" width="66.85546875" style="20" customWidth="1"/>
    <col min="3" max="5" width="10" style="20" bestFit="1" customWidth="1"/>
    <col min="6" max="6" width="10" style="20" customWidth="1"/>
    <col min="7" max="12" width="10" style="20" bestFit="1" customWidth="1"/>
    <col min="13" max="13" width="12.85546875" style="20" bestFit="1" customWidth="1"/>
    <col min="14" max="14" width="11.140625" style="20" customWidth="1"/>
    <col min="15" max="15" width="15.5703125" style="20" customWidth="1"/>
    <col min="16" max="16" width="6.85546875" style="20" bestFit="1" customWidth="1"/>
    <col min="17" max="17" width="9.140625" style="20"/>
    <col min="18" max="18" width="11.7109375" style="20" bestFit="1" customWidth="1"/>
    <col min="19" max="16384" width="9.140625" style="20"/>
  </cols>
  <sheetData>
    <row r="1" spans="1:19" x14ac:dyDescent="0.2">
      <c r="A1" s="177">
        <f>'2022 IR Data Book'!$A$5</f>
        <v>0.27228666339922669</v>
      </c>
    </row>
    <row r="3" spans="1:19" ht="15.75" x14ac:dyDescent="0.25">
      <c r="B3" s="137" t="s">
        <v>19</v>
      </c>
    </row>
    <row r="5" spans="1:19" x14ac:dyDescent="0.2">
      <c r="B5" s="131" t="s">
        <v>20</v>
      </c>
      <c r="C5" s="132"/>
      <c r="D5" s="132"/>
      <c r="E5" s="132"/>
      <c r="F5" s="132"/>
      <c r="G5" s="132"/>
      <c r="H5" s="132"/>
      <c r="I5" s="132"/>
      <c r="J5" s="132"/>
      <c r="K5" s="132"/>
      <c r="L5" s="132"/>
      <c r="M5" s="260" t="s">
        <v>21</v>
      </c>
      <c r="N5" s="260"/>
      <c r="O5" s="260"/>
      <c r="P5" s="260"/>
    </row>
    <row r="6" spans="1:19" ht="25.5" x14ac:dyDescent="0.2">
      <c r="B6" s="133"/>
      <c r="C6" s="134" t="s">
        <v>22</v>
      </c>
      <c r="D6" s="134" t="s">
        <v>23</v>
      </c>
      <c r="E6" s="134" t="s">
        <v>24</v>
      </c>
      <c r="F6" s="134" t="s">
        <v>25</v>
      </c>
      <c r="G6" s="134" t="s">
        <v>26</v>
      </c>
      <c r="H6" s="134" t="s">
        <v>27</v>
      </c>
      <c r="I6" s="134" t="s">
        <v>28</v>
      </c>
      <c r="J6" s="134" t="s">
        <v>275</v>
      </c>
      <c r="K6" s="134" t="s">
        <v>303</v>
      </c>
      <c r="L6" s="134" t="s">
        <v>314</v>
      </c>
      <c r="M6" s="135" t="s">
        <v>304</v>
      </c>
      <c r="N6" s="134" t="s">
        <v>29</v>
      </c>
      <c r="O6" s="135" t="s">
        <v>305</v>
      </c>
      <c r="P6" s="134" t="s">
        <v>29</v>
      </c>
    </row>
    <row r="7" spans="1:19" ht="15" x14ac:dyDescent="0.25">
      <c r="B7" s="21" t="s">
        <v>30</v>
      </c>
    </row>
    <row r="8" spans="1:19" x14ac:dyDescent="0.2">
      <c r="B8" s="22" t="s">
        <v>31</v>
      </c>
      <c r="C8" s="28">
        <f>((1424933))*('2022 IR Data Book'!$A$5)</f>
        <v>387990.25213745027</v>
      </c>
      <c r="D8" s="28">
        <f>(1570923)*('2022 IR Data Book'!$A$5)</f>
        <v>427741.3821271034</v>
      </c>
      <c r="E8" s="28">
        <f>(1461404)*('2022 IR Data Book'!$A$5)</f>
        <v>397920.81903828349</v>
      </c>
      <c r="F8" s="28">
        <f>G8-C8-D8-E8</f>
        <v>438802.21096770681</v>
      </c>
      <c r="G8" s="28">
        <f>(6068805)*('2022 IR Data Book'!$A$5)</f>
        <v>1652454.664270544</v>
      </c>
      <c r="H8" s="28">
        <f>(1448931.82909692)*('2022 IR Data Book'!$A$5)</f>
        <v>394524.81323773891</v>
      </c>
      <c r="I8" s="28">
        <f>(1516588.75107447)*('2022 IR Data Book'!$A$5)</f>
        <v>412946.89077886782</v>
      </c>
      <c r="J8" s="28">
        <f>1426250.44629083*('2022 IR Data Book'!$A$5)</f>
        <v>388348.97519218805</v>
      </c>
      <c r="K8" s="28">
        <f>L8-H8-I8-J8</f>
        <v>417751.41682623746</v>
      </c>
      <c r="L8" s="28">
        <f>5926004.87989826*('2022 IR Data Book'!$A$5)</f>
        <v>1613572.0960350323</v>
      </c>
      <c r="M8" s="28">
        <f t="shared" ref="M8:M16" si="0">K8-F8</f>
        <v>-21050.794141469349</v>
      </c>
      <c r="N8" s="32">
        <f t="shared" ref="N8:N16" si="1">M8/F8</f>
        <v>-4.7973309193327103E-2</v>
      </c>
      <c r="O8" s="28">
        <f t="shared" ref="O8:O16" si="2">(H8+I8+J8+K8)-(C8+D8+E8+F8)</f>
        <v>-38882.568235511659</v>
      </c>
      <c r="P8" s="32">
        <f t="shared" ref="P8:P16" si="3">O8/(C8+D8+E8+F8)</f>
        <v>-2.3530187590759651E-2</v>
      </c>
    </row>
    <row r="9" spans="1:19" x14ac:dyDescent="0.2">
      <c r="B9" s="22" t="s">
        <v>32</v>
      </c>
      <c r="C9" s="28">
        <f>-1066286*('2022 IR Data Book'!$A$5)</f>
        <v>-290335.4571693078</v>
      </c>
      <c r="D9" s="28">
        <f>-1182258*('2022 IR Data Book'!$A$5)</f>
        <v>-321913.08609704295</v>
      </c>
      <c r="E9" s="28">
        <f>-1105324*('2022 IR Data Book'!$A$5)</f>
        <v>-300964.98393508687</v>
      </c>
      <c r="F9" s="28">
        <f>G9-C9-D9-E9</f>
        <v>-349635.13587104494</v>
      </c>
      <c r="G9" s="28">
        <f>(-4637938)*('2022 IR Data Book'!$A$5)</f>
        <v>-1262848.6630724827</v>
      </c>
      <c r="H9" s="28">
        <f>-1104831.60806885*('2022 IR Data Book'!$A$5)</f>
        <v>-300830.9121790693</v>
      </c>
      <c r="I9" s="28">
        <f>-1137965.97137327*('2022 IR Data Book'!$A$5)</f>
        <v>-309852.95740708761</v>
      </c>
      <c r="J9" s="28">
        <f>-1105423.3538419*('2022 IR Data Book'!$A$5)</f>
        <v>-300992.03666119365</v>
      </c>
      <c r="K9" s="28">
        <f>L9-H9-I9-J9</f>
        <v>-314077.16937378986</v>
      </c>
      <c r="L9" s="28">
        <f>-4501700.7455262*('2022 IR Data Book'!$A$5)</f>
        <v>-1225753.0756211404</v>
      </c>
      <c r="M9" s="36">
        <f t="shared" si="0"/>
        <v>35557.966497255082</v>
      </c>
      <c r="N9" s="37">
        <f t="shared" si="1"/>
        <v>-0.10170020930153266</v>
      </c>
      <c r="O9" s="36">
        <f t="shared" si="2"/>
        <v>37095.58745134226</v>
      </c>
      <c r="P9" s="37">
        <f t="shared" si="3"/>
        <v>-2.9374531197657146E-2</v>
      </c>
    </row>
    <row r="10" spans="1:19" x14ac:dyDescent="0.2">
      <c r="B10" s="23" t="s">
        <v>33</v>
      </c>
      <c r="C10" s="29">
        <f>C8+C9</f>
        <v>97654.794968142465</v>
      </c>
      <c r="D10" s="29">
        <f>D8+D9</f>
        <v>105828.29603006045</v>
      </c>
      <c r="E10" s="29">
        <f t="shared" ref="E10:G10" si="4">E8+E9</f>
        <v>96955.835103196616</v>
      </c>
      <c r="F10" s="29">
        <f t="shared" si="4"/>
        <v>89167.075096661865</v>
      </c>
      <c r="G10" s="29">
        <f t="shared" si="4"/>
        <v>389606.00119806128</v>
      </c>
      <c r="H10" s="29">
        <f>H8+H9</f>
        <v>93693.901058669609</v>
      </c>
      <c r="I10" s="29">
        <f>I8+I9</f>
        <v>103093.93337178021</v>
      </c>
      <c r="J10" s="29">
        <f>J8+J9</f>
        <v>87356.938530994405</v>
      </c>
      <c r="K10" s="29">
        <f>K8+K9</f>
        <v>103674.2474524476</v>
      </c>
      <c r="L10" s="29">
        <f>L8+L9</f>
        <v>387819.02041389188</v>
      </c>
      <c r="M10" s="28">
        <f t="shared" si="0"/>
        <v>14507.172355785733</v>
      </c>
      <c r="N10" s="32">
        <f t="shared" si="1"/>
        <v>0.16269651482970798</v>
      </c>
      <c r="O10" s="28">
        <f t="shared" si="2"/>
        <v>-1786.9807841695729</v>
      </c>
      <c r="P10" s="32">
        <f t="shared" si="3"/>
        <v>-4.5866356746931559E-3</v>
      </c>
    </row>
    <row r="11" spans="1:19" x14ac:dyDescent="0.2">
      <c r="B11" s="22" t="s">
        <v>34</v>
      </c>
      <c r="C11" s="28">
        <f>-67400*('2022 IR Data Book'!$A$5)</f>
        <v>-18352.121113107878</v>
      </c>
      <c r="D11" s="28">
        <f>-77114*('2022 IR Data Book'!$A$5)</f>
        <v>-20997.113761367968</v>
      </c>
      <c r="E11" s="28">
        <f>-62964*('2022 IR Data Book'!$A$5)</f>
        <v>-17144.25747426891</v>
      </c>
      <c r="F11" s="28">
        <f t="shared" ref="F11:F14" si="5">G11-C11-D11-E11</f>
        <v>-17706.801720851712</v>
      </c>
      <c r="G11" s="28">
        <f>(-272508)*('2022 IR Data Book'!$A$5)</f>
        <v>-74200.294069596464</v>
      </c>
      <c r="H11" s="28">
        <f>-58785.3492673848*('2022 IR Data Book'!$A$5)</f>
        <v>-16006.466608774383</v>
      </c>
      <c r="I11" s="28">
        <f>-65139.864353484*('2022 IR Data Book'!$A$5)</f>
        <v>-17736.716319088384</v>
      </c>
      <c r="J11" s="28">
        <f>-62179.9677381306*('2022 IR Data Book'!$A$5)</f>
        <v>-16930.775945687143</v>
      </c>
      <c r="K11" s="28">
        <f>L11-H11-I11-J11</f>
        <v>-19476.848764515758</v>
      </c>
      <c r="L11" s="28">
        <f>-257635.85613156*('2022 IR Data Book'!$A$5)</f>
        <v>-70150.807638065671</v>
      </c>
      <c r="M11" s="28">
        <f t="shared" si="0"/>
        <v>-1770.0470436640462</v>
      </c>
      <c r="N11" s="32">
        <f t="shared" si="1"/>
        <v>9.9964243773036698E-2</v>
      </c>
      <c r="O11" s="28">
        <f t="shared" si="2"/>
        <v>4049.4864315308077</v>
      </c>
      <c r="P11" s="32">
        <f t="shared" si="3"/>
        <v>-5.4575072542604408E-2</v>
      </c>
    </row>
    <row r="12" spans="1:19" x14ac:dyDescent="0.2">
      <c r="B12" s="24" t="s">
        <v>35</v>
      </c>
      <c r="C12" s="28">
        <f>-3646*('2022 IR Data Book'!$A$5)</f>
        <v>-992.75717475358056</v>
      </c>
      <c r="D12" s="28">
        <f>-5016*('2022 IR Data Book'!$A$5)</f>
        <v>-1365.7899036105212</v>
      </c>
      <c r="E12" s="28">
        <f>-6363*('2022 IR Data Book'!$A$5)</f>
        <v>-1732.5600392092795</v>
      </c>
      <c r="F12" s="28">
        <f t="shared" si="5"/>
        <v>-414.42030169362329</v>
      </c>
      <c r="G12" s="28">
        <f>(-15635-912)*('2022 IR Data Book'!$A$5)</f>
        <v>-4505.527419267004</v>
      </c>
      <c r="H12" s="28">
        <f>-4547.01664062866*('2022 IR Data Book'!$A$5)</f>
        <v>-1238.0919894975384</v>
      </c>
      <c r="I12" s="28">
        <f>-4758.01804787734*('2022 IR Data Book'!$A$5)</f>
        <v>-1295.544858649823</v>
      </c>
      <c r="J12" s="28">
        <f>-4518.9367594406*('2022 IR Data Book'!$A$5)</f>
        <v>-1230.446212340195</v>
      </c>
      <c r="K12" s="28">
        <f>L12-H12-I12-J12</f>
        <v>-619.10218289342697</v>
      </c>
      <c r="L12" s="28">
        <f>-16097.686124841*(('2022 IR Data Book'!$A$5))</f>
        <v>-4383.1852433809836</v>
      </c>
      <c r="M12" s="28">
        <f t="shared" si="0"/>
        <v>-204.68188119980368</v>
      </c>
      <c r="N12" s="32">
        <f t="shared" si="1"/>
        <v>0.49389926208567581</v>
      </c>
      <c r="O12" s="28">
        <f t="shared" si="2"/>
        <v>122.34217588602132</v>
      </c>
      <c r="P12" s="32">
        <f t="shared" si="3"/>
        <v>-2.7153796770351232E-2</v>
      </c>
      <c r="R12" s="28"/>
      <c r="S12" s="28"/>
    </row>
    <row r="13" spans="1:19" x14ac:dyDescent="0.2">
      <c r="B13" s="24" t="s">
        <v>36</v>
      </c>
      <c r="C13" s="28">
        <f>-216289*('2022 IR Data Book'!$A$5)</f>
        <v>-58892.610139955344</v>
      </c>
      <c r="D13" s="28">
        <f>-213497*('2022 IR Data Book'!$A$5)</f>
        <v>-58132.385775744704</v>
      </c>
      <c r="E13" s="28">
        <f>-220767*('2022 IR Data Book'!$A$5)</f>
        <v>-60111.909818657077</v>
      </c>
      <c r="F13" s="28">
        <f t="shared" si="5"/>
        <v>-64559.440178620032</v>
      </c>
      <c r="G13" s="28">
        <f>-887654*('2022 IR Data Book'!$A$5)</f>
        <v>-241696.34591297718</v>
      </c>
      <c r="H13" s="28">
        <f>-214112.877240882*('2022 IR Data Book'!$A$5)</f>
        <v>-58300.080934727979</v>
      </c>
      <c r="I13" s="28">
        <f>-234187.438032882*('2022 IR Data Book'!$A$5)</f>
        <v>-63766.116111986601</v>
      </c>
      <c r="J13" s="28">
        <f>-213023.336177279*('2022 IR Data Book'!$A$5)</f>
        <v>-58003.413433883077</v>
      </c>
      <c r="K13" s="28">
        <f>L13-H13-I13-J13</f>
        <v>-67070.835866250884</v>
      </c>
      <c r="L13" s="28">
        <f>-907648.003253436*(('2022 IR Data Book'!$A$5))</f>
        <v>-247140.44634684853</v>
      </c>
      <c r="M13" s="28">
        <f t="shared" si="0"/>
        <v>-2511.3956876308512</v>
      </c>
      <c r="N13" s="32">
        <f t="shared" si="1"/>
        <v>3.8900518354596E-2</v>
      </c>
      <c r="O13" s="28">
        <f t="shared" si="2"/>
        <v>-5444.1004338713537</v>
      </c>
      <c r="P13" s="32">
        <f t="shared" si="3"/>
        <v>2.2524545885486837E-2</v>
      </c>
      <c r="R13" s="28"/>
      <c r="S13" s="28"/>
    </row>
    <row r="14" spans="1:19" x14ac:dyDescent="0.2">
      <c r="B14" s="20" t="s">
        <v>37</v>
      </c>
      <c r="C14" s="28">
        <f>0*('2022 IR Data Book'!$A$5)</f>
        <v>0</v>
      </c>
      <c r="D14" s="28">
        <f>0*('2022 IR Data Book'!$A$5)</f>
        <v>0</v>
      </c>
      <c r="E14" s="28">
        <f>6611*('2022 IR Data Book'!$A$5)</f>
        <v>1800.0871317322876</v>
      </c>
      <c r="F14" s="28">
        <f t="shared" si="5"/>
        <v>7366.987964929478</v>
      </c>
      <c r="G14" s="28">
        <f>33667*('2022 IR Data Book'!$A$5)</f>
        <v>9167.0750966617652</v>
      </c>
      <c r="H14" s="28">
        <f>0*('2022 IR Data Book'!$A$5)</f>
        <v>0</v>
      </c>
      <c r="I14" s="28">
        <f>0*('2022 IR Data Book'!$A$5)</f>
        <v>0</v>
      </c>
      <c r="J14" s="28">
        <v>0</v>
      </c>
      <c r="K14" s="28">
        <f>L14-H14-I14-J14</f>
        <v>351.49799999999999</v>
      </c>
      <c r="L14" s="28">
        <f>1290.9115548*(('2022 IR Data Book'!$A$5))</f>
        <v>351.49799999999999</v>
      </c>
      <c r="M14" s="28">
        <f t="shared" si="0"/>
        <v>-7015.4899649294784</v>
      </c>
      <c r="N14" s="32">
        <f t="shared" si="1"/>
        <v>-0.95228742035777647</v>
      </c>
      <c r="O14" s="28">
        <f t="shared" si="2"/>
        <v>-8815.5770966617656</v>
      </c>
      <c r="P14" s="32">
        <f t="shared" si="3"/>
        <v>-0.96165647207057359</v>
      </c>
    </row>
    <row r="15" spans="1:19" x14ac:dyDescent="0.2">
      <c r="B15" s="24" t="s">
        <v>38</v>
      </c>
      <c r="C15" s="28">
        <f>8143*('2022 IR Data Book'!$A$5)</f>
        <v>2217.2303000599031</v>
      </c>
      <c r="D15" s="28">
        <f>6514*('2022 IR Data Book'!$A$5)</f>
        <v>1773.6753253825627</v>
      </c>
      <c r="E15" s="28">
        <f>(-4579)*('2022 IR Data Book'!$A$5)</f>
        <v>-1246.800631705059</v>
      </c>
      <c r="F15" s="28">
        <f>G15-C15-D15-E15</f>
        <v>2115.9396612753903</v>
      </c>
      <c r="G15" s="28">
        <f>(17849)*('2022 IR Data Book'!$A$5)</f>
        <v>4860.0446550127972</v>
      </c>
      <c r="H15" s="28">
        <f>8351.413296422*('2022 IR Data Book'!$A$5)</f>
        <v>2273.9784611506834</v>
      </c>
      <c r="I15" s="36">
        <f>-10969.3359538721*('2022 IR Data Book'!$A$5)</f>
        <v>-2986.8038865850076</v>
      </c>
      <c r="J15" s="36">
        <f>9802.38519477437*('2022 IR Data Book'!$A$5)</f>
        <v>2669.058758039092</v>
      </c>
      <c r="K15" s="36">
        <f>L15-H15-I15-J15</f>
        <v>-1651.8744877357187</v>
      </c>
      <c r="L15" s="36">
        <f>1117.78829366607*(('2022 IR Data Book'!$A$5))</f>
        <v>304.35884486904916</v>
      </c>
      <c r="M15" s="36">
        <f t="shared" si="0"/>
        <v>-3767.8141490111093</v>
      </c>
      <c r="N15" s="37">
        <f t="shared" si="1"/>
        <v>-1.7806812821590789</v>
      </c>
      <c r="O15" s="36">
        <f t="shared" si="2"/>
        <v>-4555.6858101437483</v>
      </c>
      <c r="P15" s="37">
        <f t="shared" si="3"/>
        <v>-0.93737529869090319</v>
      </c>
    </row>
    <row r="16" spans="1:19" x14ac:dyDescent="0.2">
      <c r="B16" s="25" t="s">
        <v>39</v>
      </c>
      <c r="C16" s="29">
        <f t="shared" ref="C16:I16" si="6">SUM(C10:C15)</f>
        <v>21634.536840385565</v>
      </c>
      <c r="D16" s="29">
        <f t="shared" si="6"/>
        <v>27106.681914719808</v>
      </c>
      <c r="E16" s="29">
        <f t="shared" si="6"/>
        <v>18520.394271088589</v>
      </c>
      <c r="F16" s="29">
        <f t="shared" si="6"/>
        <v>15969.340521701366</v>
      </c>
      <c r="G16" s="29">
        <f t="shared" si="6"/>
        <v>83230.953547895217</v>
      </c>
      <c r="H16" s="29">
        <f t="shared" si="6"/>
        <v>20423.239986820394</v>
      </c>
      <c r="I16" s="34">
        <f t="shared" si="6"/>
        <v>17308.752195470388</v>
      </c>
      <c r="J16" s="34">
        <f t="shared" ref="J16:K16" si="7">SUM(J10:J15)</f>
        <v>13861.361697123088</v>
      </c>
      <c r="K16" s="34">
        <f t="shared" si="7"/>
        <v>15207.084151051806</v>
      </c>
      <c r="L16" s="34">
        <f t="shared" ref="L16" si="8">SUM(L10:L15)</f>
        <v>66800.438030465783</v>
      </c>
      <c r="M16" s="28">
        <f t="shared" si="0"/>
        <v>-762.25637064956027</v>
      </c>
      <c r="N16" s="32">
        <f t="shared" si="1"/>
        <v>-4.7732488991245443E-2</v>
      </c>
      <c r="O16" s="28">
        <f t="shared" si="2"/>
        <v>-16430.515517429652</v>
      </c>
      <c r="P16" s="32">
        <f t="shared" si="3"/>
        <v>-0.19740871415073599</v>
      </c>
    </row>
    <row r="17" spans="2:19" x14ac:dyDescent="0.2">
      <c r="B17" s="25"/>
      <c r="C17" s="28"/>
      <c r="D17" s="28"/>
      <c r="E17" s="28"/>
      <c r="F17" s="28"/>
      <c r="G17" s="28"/>
      <c r="H17" s="28"/>
      <c r="I17" s="28"/>
      <c r="J17" s="28"/>
      <c r="K17" s="28"/>
      <c r="L17" s="28"/>
      <c r="M17" s="28"/>
      <c r="N17" s="32"/>
      <c r="O17" s="28"/>
      <c r="P17" s="32"/>
    </row>
    <row r="18" spans="2:19" x14ac:dyDescent="0.2">
      <c r="B18" s="22" t="s">
        <v>40</v>
      </c>
      <c r="C18" s="28">
        <f>2247*('2022 IR Data Book'!$A$5)</f>
        <v>611.82813265806237</v>
      </c>
      <c r="D18" s="28">
        <f>1426*('2022 IR Data Book'!$A$5)</f>
        <v>388.28078200729726</v>
      </c>
      <c r="E18" s="28">
        <f>1374*('2022 IR Data Book'!$A$5)</f>
        <v>374.12187551053745</v>
      </c>
      <c r="F18" s="28">
        <f t="shared" ref="F18:F20" si="9">G18-C18-D18-E18</f>
        <v>370.037575559549</v>
      </c>
      <c r="G18" s="28">
        <f>6406*('2022 IR Data Book'!$A$5)</f>
        <v>1744.2683657354462</v>
      </c>
      <c r="H18" s="28">
        <f>991.01122253691*('2022 IR Data Book'!$A$5)</f>
        <v>269.83913917576376</v>
      </c>
      <c r="I18" s="28">
        <f>1005.15436493052*('2022 IR Data Book'!$A$5)</f>
        <v>273.69012822809998</v>
      </c>
      <c r="J18" s="28">
        <f>763.151258181049*('2022 IR Data Book'!$A$5)</f>
        <v>207.79590975903963</v>
      </c>
      <c r="K18" s="28">
        <f>L18-H18-I18-J18</f>
        <v>591.8080705693543</v>
      </c>
      <c r="L18" s="28">
        <f>4932.79116562149*(('2022 IR Data Book'!$A$5))</f>
        <v>1343.1332477322578</v>
      </c>
      <c r="M18" s="28">
        <f t="shared" ref="M18:M23" si="10">K18-F18</f>
        <v>221.7704950098053</v>
      </c>
      <c r="N18" s="32">
        <f t="shared" ref="N18:N23" si="11">M18/F18</f>
        <v>0.59931885207727087</v>
      </c>
      <c r="O18" s="28">
        <f t="shared" ref="O18:O23" si="12">(H18+I18+J18+K18)-(C18+D18+E18+F18)</f>
        <v>-401.13511800318838</v>
      </c>
      <c r="P18" s="32">
        <f t="shared" ref="P18:P23" si="13">O18/(C18+D18+E18+F18)</f>
        <v>-0.22997328042124726</v>
      </c>
    </row>
    <row r="19" spans="2:19" x14ac:dyDescent="0.2">
      <c r="B19" s="22" t="s">
        <v>41</v>
      </c>
      <c r="C19" s="28">
        <f>-15290*('2022 IR Data Book'!$A$5)</f>
        <v>-4163.2630833741759</v>
      </c>
      <c r="D19" s="28">
        <f>-15364*('2022 IR Data Book'!$A$5)</f>
        <v>-4183.412296465719</v>
      </c>
      <c r="E19" s="28">
        <f>-15494*('2022 IR Data Book'!$A$5)</f>
        <v>-4218.8095627076182</v>
      </c>
      <c r="F19" s="28">
        <f t="shared" si="9"/>
        <v>-3795.6760877852203</v>
      </c>
      <c r="G19" s="28">
        <f>-60088*('2022 IR Data Book'!$A$5)</f>
        <v>-16361.161030332734</v>
      </c>
      <c r="H19" s="28">
        <f>-12840.3882239414*('2022 IR Data Book'!$A$5)</f>
        <v>-3496.2664662477259</v>
      </c>
      <c r="I19" s="28">
        <f>-15376.8808591112*('2022 IR Data Book'!$A$5)</f>
        <v>-4186.9195826148225</v>
      </c>
      <c r="J19" s="28">
        <f>-16307.2683124092*('2022 IR Data Book'!$A$5)</f>
        <v>-4440.2516779418393</v>
      </c>
      <c r="K19" s="28">
        <f>L19-H19-I19-J19</f>
        <v>-7691.7741218541369</v>
      </c>
      <c r="L19" s="28">
        <f>-72773.3470353833*(('2022 IR Data Book'!$A$5))</f>
        <v>-19815.211848658524</v>
      </c>
      <c r="M19" s="28">
        <f t="shared" si="10"/>
        <v>-3896.0980340689166</v>
      </c>
      <c r="N19" s="32">
        <f t="shared" si="11"/>
        <v>1.0264569325625181</v>
      </c>
      <c r="O19" s="28">
        <f t="shared" si="12"/>
        <v>-3454.0508183257916</v>
      </c>
      <c r="P19" s="32">
        <f t="shared" si="13"/>
        <v>0.21111281845598628</v>
      </c>
    </row>
    <row r="20" spans="2:19" x14ac:dyDescent="0.2">
      <c r="B20" s="26" t="s">
        <v>42</v>
      </c>
      <c r="C20" s="28">
        <f>2685*('2022 IR Data Book'!$A$5)</f>
        <v>731.08969122692372</v>
      </c>
      <c r="D20" s="28">
        <f>4608*('2022 IR Data Book'!$A$5)</f>
        <v>1254.6969449436365</v>
      </c>
      <c r="E20" s="28">
        <f>1911*('2022 IR Data Book'!$A$5)</f>
        <v>520.33981375592225</v>
      </c>
      <c r="F20" s="28">
        <f t="shared" si="9"/>
        <v>279.91068997440539</v>
      </c>
      <c r="G20" s="28">
        <f>10232*('2022 IR Data Book'!$A$5)</f>
        <v>2786.0371399008877</v>
      </c>
      <c r="H20" s="28">
        <f>3555.9604193588*('2022 IR Data Book'!$A$5)</f>
        <v>968.24059776692263</v>
      </c>
      <c r="I20" s="28">
        <f>4164.24552562748*('2022 IR Data Book'!$A$5)</f>
        <v>1133.8685197482655</v>
      </c>
      <c r="J20" s="28">
        <f>944.488232574719*(('2022 IR Data Book'!$A$5))</f>
        <v>257.17154946760303</v>
      </c>
      <c r="K20" s="28">
        <f>L20-H20-I20-J20</f>
        <v>146.70218869543913</v>
      </c>
      <c r="L20" s="28">
        <f>9203.47263576387*(('2022 IR Data Book'!$A$5))</f>
        <v>2505.9828556782304</v>
      </c>
      <c r="M20" s="36">
        <f t="shared" si="10"/>
        <v>-133.20850127896625</v>
      </c>
      <c r="N20" s="37">
        <f t="shared" si="11"/>
        <v>-0.47589644143689774</v>
      </c>
      <c r="O20" s="36">
        <f t="shared" si="12"/>
        <v>-280.05428422265777</v>
      </c>
      <c r="P20" s="37">
        <f t="shared" si="13"/>
        <v>-0.10052065717710446</v>
      </c>
    </row>
    <row r="21" spans="2:19" x14ac:dyDescent="0.2">
      <c r="B21" s="23" t="s">
        <v>43</v>
      </c>
      <c r="C21" s="29">
        <f>SUM(C16:C20)</f>
        <v>18814.191580896375</v>
      </c>
      <c r="D21" s="29">
        <f t="shared" ref="D21:I21" si="14">SUM(D16:D20)</f>
        <v>24566.247345205022</v>
      </c>
      <c r="E21" s="29">
        <f t="shared" si="14"/>
        <v>15196.046397647429</v>
      </c>
      <c r="F21" s="29">
        <f t="shared" si="14"/>
        <v>12823.612699450101</v>
      </c>
      <c r="G21" s="29">
        <f t="shared" si="14"/>
        <v>71400.098023198821</v>
      </c>
      <c r="H21" s="29">
        <f t="shared" si="14"/>
        <v>18165.053257515356</v>
      </c>
      <c r="I21" s="29">
        <f t="shared" si="14"/>
        <v>14529.39126083193</v>
      </c>
      <c r="J21" s="29">
        <f t="shared" ref="J21:K21" si="15">SUM(J16:J20)</f>
        <v>9886.0774784078894</v>
      </c>
      <c r="K21" s="29">
        <f t="shared" si="15"/>
        <v>8253.8202884624625</v>
      </c>
      <c r="L21" s="29">
        <f t="shared" ref="L21" si="16">SUM(L16:L20)</f>
        <v>50834.342285217746</v>
      </c>
      <c r="M21" s="38">
        <f t="shared" si="10"/>
        <v>-4569.7924109876385</v>
      </c>
      <c r="N21" s="39">
        <f t="shared" si="11"/>
        <v>-0.35635764414372861</v>
      </c>
      <c r="O21" s="38">
        <f t="shared" si="12"/>
        <v>-20565.755737981286</v>
      </c>
      <c r="P21" s="39">
        <f t="shared" si="13"/>
        <v>-0.28803539921330606</v>
      </c>
    </row>
    <row r="22" spans="2:19" x14ac:dyDescent="0.2">
      <c r="B22" s="22" t="s">
        <v>44</v>
      </c>
      <c r="C22" s="28">
        <f>-27647*('2022 IR Data Book'!$A$5)</f>
        <v>-7527.9093829984204</v>
      </c>
      <c r="D22" s="28">
        <f>-29409*('2022 IR Data Book'!$A$5)</f>
        <v>-8007.6784839078582</v>
      </c>
      <c r="E22" s="28">
        <f>-23812*('2022 IR Data Book'!$A$5)</f>
        <v>-6483.6900288623856</v>
      </c>
      <c r="F22" s="28">
        <f t="shared" ref="F22" si="17">G22-C22-D22-E22</f>
        <v>-164.46114469313488</v>
      </c>
      <c r="G22" s="28">
        <f>(-81472)*('2022 IR Data Book'!$A$5)</f>
        <v>-22183.739040461798</v>
      </c>
      <c r="H22" s="28">
        <f>-19735.8152716225*('2022 IR Data Book'!$A$5)</f>
        <v>-5373.799289773594</v>
      </c>
      <c r="I22" s="28">
        <f>-8349.12519583467*('2022 IR Data Book'!$A$5)</f>
        <v>-2273.3554418762374</v>
      </c>
      <c r="J22" s="28">
        <f>504.491688053108*(('2022 IR Data Book'!$A$5))</f>
        <v>137.3663584526243</v>
      </c>
      <c r="K22" s="28">
        <f>L22-H22-I22-J22</f>
        <v>518.98014679667358</v>
      </c>
      <c r="L22" s="28">
        <f>-25674.4422922786*(('2022 IR Data Book'!$A$5))</f>
        <v>-6990.8082264005334</v>
      </c>
      <c r="M22" s="28">
        <f t="shared" si="10"/>
        <v>683.44129148980846</v>
      </c>
      <c r="N22" s="32">
        <f t="shared" si="11"/>
        <v>-4.1556398793467562</v>
      </c>
      <c r="O22" s="28">
        <f t="shared" si="12"/>
        <v>15192.930814061265</v>
      </c>
      <c r="P22" s="32">
        <f t="shared" si="13"/>
        <v>-0.68486790195062597</v>
      </c>
    </row>
    <row r="23" spans="2:19" ht="15" x14ac:dyDescent="0.25">
      <c r="B23" s="23" t="s">
        <v>45</v>
      </c>
      <c r="C23" s="30">
        <f>SUM(C21:C22)</f>
        <v>11286.282197897955</v>
      </c>
      <c r="D23" s="30">
        <f>SUM(D21:D22)</f>
        <v>16558.568861297164</v>
      </c>
      <c r="E23" s="30">
        <f t="shared" ref="E23:G23" si="18">SUM(E21:E22)</f>
        <v>8712.3563687850437</v>
      </c>
      <c r="F23" s="30">
        <f t="shared" si="18"/>
        <v>12659.151554756965</v>
      </c>
      <c r="G23" s="30">
        <f t="shared" si="18"/>
        <v>49216.358982737023</v>
      </c>
      <c r="H23" s="30">
        <f>SUM(H21:H22)</f>
        <v>12791.253967741763</v>
      </c>
      <c r="I23" s="30">
        <f>SUM(I21:I22)</f>
        <v>12256.035818955692</v>
      </c>
      <c r="J23" s="30">
        <f>SUM(J21:J22)</f>
        <v>10023.443836860513</v>
      </c>
      <c r="K23" s="30">
        <f>SUM(K21:K22)</f>
        <v>8772.8004352591361</v>
      </c>
      <c r="L23" s="30">
        <f>SUM(L21:L22)</f>
        <v>43843.534058817211</v>
      </c>
      <c r="M23" s="40">
        <f t="shared" si="10"/>
        <v>-3886.3511194978291</v>
      </c>
      <c r="N23" s="41">
        <f t="shared" si="11"/>
        <v>-0.30699933583127409</v>
      </c>
      <c r="O23" s="40">
        <f t="shared" si="12"/>
        <v>-5372.8249239200231</v>
      </c>
      <c r="P23" s="41">
        <f t="shared" si="13"/>
        <v>-0.10916746047395678</v>
      </c>
      <c r="R23" s="226"/>
      <c r="S23" s="226"/>
    </row>
    <row r="24" spans="2:19" x14ac:dyDescent="0.2">
      <c r="B24" s="23"/>
      <c r="C24" s="28"/>
      <c r="D24" s="28"/>
      <c r="E24" s="28"/>
      <c r="F24" s="28"/>
      <c r="G24" s="28"/>
      <c r="H24" s="28"/>
      <c r="I24" s="28"/>
      <c r="J24" s="28"/>
      <c r="K24" s="28"/>
      <c r="L24" s="28"/>
      <c r="M24" s="28"/>
      <c r="N24" s="32"/>
      <c r="O24" s="28"/>
      <c r="P24" s="32"/>
      <c r="R24" s="90"/>
    </row>
    <row r="25" spans="2:19" x14ac:dyDescent="0.2">
      <c r="B25" s="23" t="s">
        <v>46</v>
      </c>
      <c r="C25" s="28"/>
      <c r="D25" s="28"/>
      <c r="E25" s="28"/>
      <c r="F25" s="28"/>
      <c r="G25" s="28"/>
      <c r="H25" s="28"/>
      <c r="I25" s="28"/>
      <c r="J25" s="28"/>
      <c r="K25" s="28"/>
      <c r="L25" s="28"/>
      <c r="M25" s="28"/>
      <c r="N25" s="32"/>
      <c r="O25" s="28"/>
      <c r="P25" s="32"/>
      <c r="R25" s="2"/>
      <c r="S25" s="2"/>
    </row>
    <row r="26" spans="2:19" x14ac:dyDescent="0.2">
      <c r="B26" s="22" t="s">
        <v>47</v>
      </c>
      <c r="C26" s="28">
        <f>5895*('2022 IR Data Book'!$A$5)</f>
        <v>1605.1298807384414</v>
      </c>
      <c r="D26" s="28">
        <f>5432*('2022 IR Data Book'!$A$5)</f>
        <v>1479.0611555845994</v>
      </c>
      <c r="E26" s="28">
        <f>5037*('2022 IR Data Book'!$A$5)</f>
        <v>1371.5079235419048</v>
      </c>
      <c r="F26" s="28">
        <f t="shared" ref="F26:F27" si="19">G26-C26-D26-E26</f>
        <v>-169.63459129771809</v>
      </c>
      <c r="G26" s="28">
        <f>(15741)*('2022 IR Data Book'!$A$5)</f>
        <v>4286.0643685672276</v>
      </c>
      <c r="H26" s="28">
        <f>8.02103920024501*('2022 IR Data Book'!$A$5)</f>
        <v>2.1840220008291156</v>
      </c>
      <c r="I26" s="28">
        <f>-23.9996667664583*('2022 IR Data Book'!$A$5)</f>
        <v>-6.5347891865322385</v>
      </c>
      <c r="J26" s="28">
        <f>1191.33466071547*(('2022 IR Data Book'!$A$5))</f>
        <v>324.3845397580651</v>
      </c>
      <c r="K26" s="28">
        <f>L26-H26-I26-J26</f>
        <v>-88.168516685151559</v>
      </c>
      <c r="L26" s="28">
        <f>851.548338771369*(('2022 IR Data Book'!$A$5))</f>
        <v>231.86525588721042</v>
      </c>
      <c r="M26" s="28">
        <f>K26-F26</f>
        <v>81.46607461256653</v>
      </c>
      <c r="N26" s="32">
        <f>M26/F26</f>
        <v>-0.48024447130355075</v>
      </c>
      <c r="O26" s="28">
        <f>(H26+I26+J26+K26)-(C26+D26+E26+F26)</f>
        <v>-4054.1991126800172</v>
      </c>
      <c r="P26" s="32">
        <f>O26/(C26+D26+E26+F26)</f>
        <v>-0.94590252596586177</v>
      </c>
    </row>
    <row r="27" spans="2:19" x14ac:dyDescent="0.2">
      <c r="B27" s="22" t="s">
        <v>48</v>
      </c>
      <c r="C27" s="28">
        <f>0*('2022 IR Data Book'!$A$5)</f>
        <v>0</v>
      </c>
      <c r="D27" s="28">
        <f>0*('2022 IR Data Book'!$A$5)</f>
        <v>0</v>
      </c>
      <c r="E27" s="28">
        <f>31608*('2022 IR Data Book'!$A$5)</f>
        <v>8606.4368567227575</v>
      </c>
      <c r="F27" s="28">
        <f t="shared" si="19"/>
        <v>0</v>
      </c>
      <c r="G27" s="28">
        <f>(31608)*('2022 IR Data Book'!$A$5)</f>
        <v>8606.4368567227575</v>
      </c>
      <c r="H27" s="28">
        <f>800.0869278*('2022 IR Data Book'!$A$5)</f>
        <v>217.85299999999998</v>
      </c>
      <c r="I27" s="28">
        <f>0*('2022 IR Data Book'!$A$5)</f>
        <v>0</v>
      </c>
      <c r="J27" s="28">
        <f>1520.9044572*(('2022 IR Data Book'!$A$5))</f>
        <v>414.12199999999996</v>
      </c>
      <c r="K27" s="28">
        <f>L27-H27-I27-J27</f>
        <v>325.00000000000011</v>
      </c>
      <c r="L27" s="28">
        <f>3514.586385*(('2022 IR Data Book'!$A$5))</f>
        <v>956.97500000000002</v>
      </c>
      <c r="M27" s="28">
        <f>K27-F27</f>
        <v>325.00000000000011</v>
      </c>
      <c r="N27" s="32"/>
      <c r="O27" s="28">
        <f>(H27+I27+J27+K27)-(C27+D27+E27+F27)</f>
        <v>-7649.4618567227571</v>
      </c>
      <c r="P27" s="32">
        <f>O27/(C27+D27+E27+F27)</f>
        <v>-0.88880706197798021</v>
      </c>
    </row>
    <row r="28" spans="2:19" ht="15" x14ac:dyDescent="0.25">
      <c r="B28" s="23" t="s">
        <v>49</v>
      </c>
      <c r="C28" s="30">
        <f>C26+C23+C27</f>
        <v>12891.412078636396</v>
      </c>
      <c r="D28" s="30">
        <f>D26+D23+D27</f>
        <v>18037.630016881765</v>
      </c>
      <c r="E28" s="30">
        <f t="shared" ref="E28:G28" si="20">E26+E23+E27</f>
        <v>18690.301149049708</v>
      </c>
      <c r="F28" s="30">
        <f t="shared" si="20"/>
        <v>12489.516963459248</v>
      </c>
      <c r="G28" s="30">
        <f t="shared" si="20"/>
        <v>62108.860208027007</v>
      </c>
      <c r="H28" s="30">
        <f>H26+H23+H27</f>
        <v>13011.290989742591</v>
      </c>
      <c r="I28" s="30">
        <f>I26+I23+I27</f>
        <v>12249.501029769159</v>
      </c>
      <c r="J28" s="30">
        <f>J26+J23+J27</f>
        <v>10761.950376618577</v>
      </c>
      <c r="K28" s="30">
        <f>K26+K23+K27</f>
        <v>9009.6319185739849</v>
      </c>
      <c r="L28" s="30">
        <f>L26+L23+L27</f>
        <v>45032.374314704422</v>
      </c>
      <c r="M28" s="40">
        <f>K28-F28</f>
        <v>-3479.8850448852627</v>
      </c>
      <c r="N28" s="240">
        <f>M28/F28</f>
        <v>-0.27862447003085949</v>
      </c>
      <c r="O28" s="40">
        <f>(H28+I28+J28+K28)-(C28+D28+E28+F28)</f>
        <v>-17076.485893322802</v>
      </c>
      <c r="P28" s="41">
        <f>O28/(C28+D28+E28+F28)</f>
        <v>-0.27494444168073451</v>
      </c>
      <c r="R28" s="226"/>
      <c r="S28" s="226"/>
    </row>
    <row r="29" spans="2:19" x14ac:dyDescent="0.2">
      <c r="B29" s="23"/>
      <c r="C29" s="28"/>
      <c r="D29" s="28"/>
      <c r="E29" s="28"/>
      <c r="F29" s="28"/>
      <c r="G29" s="28"/>
      <c r="H29" s="28"/>
      <c r="I29" s="28"/>
      <c r="J29" s="28"/>
      <c r="K29" s="28"/>
      <c r="L29" s="28"/>
      <c r="M29" s="28"/>
      <c r="N29" s="32"/>
      <c r="O29" s="28"/>
      <c r="P29" s="32"/>
    </row>
    <row r="30" spans="2:19" x14ac:dyDescent="0.2">
      <c r="B30" s="23" t="s">
        <v>50</v>
      </c>
      <c r="C30" s="28"/>
      <c r="D30" s="28"/>
      <c r="E30" s="28"/>
      <c r="F30" s="28"/>
      <c r="G30" s="28"/>
      <c r="H30" s="28"/>
      <c r="I30" s="28"/>
      <c r="J30" s="28"/>
      <c r="K30" s="28"/>
      <c r="L30" s="28"/>
      <c r="M30" s="28"/>
      <c r="N30" s="32"/>
      <c r="O30" s="28"/>
      <c r="P30" s="32"/>
    </row>
    <row r="31" spans="2:19" x14ac:dyDescent="0.2">
      <c r="B31" s="27" t="s">
        <v>51</v>
      </c>
      <c r="C31" s="28"/>
      <c r="D31" s="28"/>
      <c r="E31" s="28"/>
      <c r="F31" s="28"/>
      <c r="G31" s="28"/>
      <c r="H31" s="28"/>
      <c r="I31" s="28"/>
      <c r="J31" s="28"/>
      <c r="K31" s="28"/>
      <c r="L31" s="28"/>
      <c r="M31" s="28"/>
      <c r="N31" s="32"/>
      <c r="O31" s="28"/>
      <c r="P31" s="32"/>
    </row>
    <row r="32" spans="2:19" x14ac:dyDescent="0.2">
      <c r="B32" s="22" t="s">
        <v>52</v>
      </c>
      <c r="C32" s="28">
        <f>40656*('2022 IR Data Book'!$A$5)</f>
        <v>11070.086587158961</v>
      </c>
      <c r="D32" s="28">
        <f>60419*('2022 IR Data Book'!$A$5)</f>
        <v>16451.287915917877</v>
      </c>
      <c r="E32" s="28">
        <f>31350*('2022 IR Data Book'!$A$5)</f>
        <v>8536.1868975657562</v>
      </c>
      <c r="F32" s="28">
        <f t="shared" ref="F32:F33" si="21">G32-C32-D32-E32</f>
        <v>12762.075913521752</v>
      </c>
      <c r="G32" s="28">
        <f>(179295)*('2022 IR Data Book'!$A$5)</f>
        <v>48819.637314164349</v>
      </c>
      <c r="H32" s="28">
        <f>46494.1878882839*('2022 IR Data Book'!$A$5)</f>
        <v>12659.74728755756</v>
      </c>
      <c r="I32" s="28">
        <f>44592.4391410097*('2022 IR Data Book'!$A$5)</f>
        <v>12141.926466538611</v>
      </c>
      <c r="J32" s="28">
        <f>36931.2203883523*(('2022 IR Data Book'!$A$5))</f>
        <v>10055.878774805942</v>
      </c>
      <c r="K32" s="28">
        <f>L32-H32-I32-J32</f>
        <v>8984.0872719874405</v>
      </c>
      <c r="L32" s="28">
        <f>161012.806332747*(('2022 IR Data Book'!$A$5))</f>
        <v>43841.639800889556</v>
      </c>
      <c r="M32" s="28">
        <f>K32-F32</f>
        <v>-3777.9886415343117</v>
      </c>
      <c r="N32" s="32">
        <f>M32/F32</f>
        <v>-0.29603245327285932</v>
      </c>
      <c r="O32" s="28">
        <f>(H32+I32+J32+K32)-(C32+D32+E32+F32)</f>
        <v>-4977.9975132748004</v>
      </c>
      <c r="P32" s="32">
        <f>O32/(C32+D32+E32+F32)</f>
        <v>-0.1019671137915337</v>
      </c>
    </row>
    <row r="33" spans="2:20" x14ac:dyDescent="0.2">
      <c r="B33" s="22" t="s">
        <v>53</v>
      </c>
      <c r="C33" s="28">
        <f>5357*('2022 IR Data Book'!$A$5)</f>
        <v>1458.6396558296574</v>
      </c>
      <c r="D33" s="28">
        <f>5047*('2022 IR Data Book'!$A$5)</f>
        <v>1374.230790175897</v>
      </c>
      <c r="E33" s="28">
        <f>36465*('2022 IR Data Book'!$A$5)</f>
        <v>9928.9331808528004</v>
      </c>
      <c r="F33" s="28">
        <f t="shared" si="21"/>
        <v>-169.63459129771945</v>
      </c>
      <c r="G33" s="28">
        <f>(46246)*('2022 IR Data Book'!$A$5)</f>
        <v>12592.169035560637</v>
      </c>
      <c r="H33" s="28">
        <f>808.109436040245*('2022 IR Data Book'!$A$5)</f>
        <v>220.03742200082911</v>
      </c>
      <c r="I33" s="28">
        <f>-24.0000340264582*('2022 IR Data Book'!$A$5)</f>
        <v>-6.5348891865322107</v>
      </c>
      <c r="J33" s="28">
        <f>2712.23853029947*(('2022 IR Data Book'!$A$5))</f>
        <v>738.50637975806501</v>
      </c>
      <c r="K33" s="28">
        <f>L33-H33-I33-J33</f>
        <v>236.8314833148487</v>
      </c>
      <c r="L33" s="28">
        <f>4366.13523793537*(('2022 IR Data Book'!$A$5))</f>
        <v>1188.8403958872107</v>
      </c>
      <c r="M33" s="28">
        <f>K33-F33</f>
        <v>406.46607461256815</v>
      </c>
      <c r="N33" s="32">
        <f>M33/F33</f>
        <v>-2.3961272963436713</v>
      </c>
      <c r="O33" s="28">
        <f>(H33+I33+J33+K33)-(C33+D33+E33+F33)</f>
        <v>-11403.328639673426</v>
      </c>
      <c r="P33" s="32">
        <f>O33/(C33+D33+E33+F33)</f>
        <v>-0.90558891065312963</v>
      </c>
    </row>
    <row r="34" spans="2:20" ht="15" x14ac:dyDescent="0.25">
      <c r="B34" s="22"/>
      <c r="C34" s="30">
        <f>SUM(C32:C33)</f>
        <v>12528.726242988618</v>
      </c>
      <c r="D34" s="30">
        <f>SUM(D32:D33)</f>
        <v>17825.518706093775</v>
      </c>
      <c r="E34" s="30">
        <f t="shared" ref="E34:G34" si="22">SUM(E32:E33)</f>
        <v>18465.120078418557</v>
      </c>
      <c r="F34" s="30">
        <f t="shared" si="22"/>
        <v>12592.441322224033</v>
      </c>
      <c r="G34" s="30">
        <f t="shared" si="22"/>
        <v>61411.806349724982</v>
      </c>
      <c r="H34" s="30">
        <f>SUM(H32:H33)</f>
        <v>12879.784709558389</v>
      </c>
      <c r="I34" s="30">
        <f>SUM(I32:I33)</f>
        <v>12135.391577352078</v>
      </c>
      <c r="J34" s="30">
        <f>SUM(J32:J33)</f>
        <v>10794.385154564006</v>
      </c>
      <c r="K34" s="30">
        <f>SUM(K32:K33)</f>
        <v>9220.9187553022894</v>
      </c>
      <c r="L34" s="30">
        <f>SUM(L32:L33)</f>
        <v>45030.480196776763</v>
      </c>
      <c r="M34" s="40">
        <f>K34-F34</f>
        <v>-3371.5225669217434</v>
      </c>
      <c r="N34" s="240">
        <f>M34/F34</f>
        <v>-0.26774177307234631</v>
      </c>
      <c r="O34" s="40">
        <f>(H34+I34+J34+K34)-(C34+D34+E34+F34)</f>
        <v>-16381.326152948212</v>
      </c>
      <c r="P34" s="41">
        <f>O34/(C34+D34+E34+F34)</f>
        <v>-0.26674555149315471</v>
      </c>
      <c r="R34" s="226"/>
      <c r="S34" s="226"/>
    </row>
    <row r="35" spans="2:20" x14ac:dyDescent="0.2">
      <c r="B35" s="27" t="s">
        <v>54</v>
      </c>
      <c r="C35" s="28"/>
      <c r="D35" s="28"/>
      <c r="E35" s="28"/>
      <c r="F35" s="28"/>
      <c r="G35" s="28"/>
      <c r="H35" s="28"/>
      <c r="I35" s="28"/>
      <c r="J35" s="28"/>
      <c r="K35" s="28"/>
      <c r="L35" s="28"/>
      <c r="M35" s="28"/>
      <c r="N35" s="32"/>
      <c r="O35" s="28"/>
      <c r="P35" s="32"/>
      <c r="R35" s="2"/>
      <c r="S35" s="2"/>
      <c r="T35" s="2"/>
    </row>
    <row r="36" spans="2:20" x14ac:dyDescent="0.2">
      <c r="B36" s="22" t="s">
        <v>55</v>
      </c>
      <c r="C36" s="28">
        <f>794*('2022 IR Data Book'!$A$5)</f>
        <v>216.19561073898601</v>
      </c>
      <c r="D36" s="28">
        <f>394*('2022 IR Data Book'!$A$5)</f>
        <v>107.28094537929532</v>
      </c>
      <c r="E36" s="28">
        <f>647*('2022 IR Data Book'!$A$5)</f>
        <v>176.16947121929968</v>
      </c>
      <c r="F36" s="28">
        <f t="shared" ref="F36:F37" si="23">G36-C36-D36-E36</f>
        <v>-102.92435876490769</v>
      </c>
      <c r="G36" s="28">
        <f>1457*('2022 IR Data Book'!$A$5)</f>
        <v>396.72166857267331</v>
      </c>
      <c r="H36" s="28">
        <f>482.969964602641*('2022 IR Data Book'!$A$5)</f>
        <v>131.50628018369574</v>
      </c>
      <c r="I36" s="28">
        <f>420*('2022 IR Data Book'!$A$5)</f>
        <v>114.36039862767521</v>
      </c>
      <c r="J36" s="28">
        <f>-119.121592951046*(('2022 IR Data Book'!$A$5))</f>
        <v>-32.435221083441157</v>
      </c>
      <c r="K36" s="28">
        <f>L36-H36-I36-J36</f>
        <v>-211.53763197581196</v>
      </c>
      <c r="L36" s="28">
        <f>6.95526445722799*(('2022 IR Data Book'!$A$5))</f>
        <v>1.893825752117843</v>
      </c>
      <c r="M36" s="28">
        <f>K36-F36</f>
        <v>-108.61327321090427</v>
      </c>
      <c r="N36" s="32">
        <f>M36/F36</f>
        <v>1.0552727703554683</v>
      </c>
      <c r="O36" s="28">
        <f>(H36+I36+J36+K36)-(C36+D36+E36+F36)</f>
        <v>-394.82784282055547</v>
      </c>
      <c r="P36" s="32">
        <f>O36/(C36+D36+E36+F36)</f>
        <v>-0.99522631128536176</v>
      </c>
    </row>
    <row r="37" spans="2:20" x14ac:dyDescent="0.2">
      <c r="B37" s="22" t="s">
        <v>56</v>
      </c>
      <c r="C37" s="28">
        <f>538*('2022 IR Data Book'!$A$5)</f>
        <v>146.49022490878397</v>
      </c>
      <c r="D37" s="28">
        <f>385*('2022 IR Data Book'!$A$5)</f>
        <v>104.83036540870228</v>
      </c>
      <c r="E37" s="28">
        <f>180*('2022 IR Data Book'!$A$5)</f>
        <v>49.011599411860807</v>
      </c>
      <c r="F37" s="28">
        <f t="shared" si="23"/>
        <v>0</v>
      </c>
      <c r="G37" s="28">
        <f>(1103)*('2022 IR Data Book'!$A$5)</f>
        <v>300.33218972934702</v>
      </c>
      <c r="H37" s="28">
        <f>0*('2022 IR Data Book'!$A$5)</f>
        <v>0</v>
      </c>
      <c r="I37" s="28">
        <f>0*('2022 IR Data Book'!$A$5)</f>
        <v>0</v>
      </c>
      <c r="J37" s="28">
        <f>0*(('2022 IR Data Book'!$A$5))</f>
        <v>0</v>
      </c>
      <c r="K37" s="28">
        <f>L37-H37-I37-J37</f>
        <v>0</v>
      </c>
      <c r="L37" s="28">
        <f>0*(('2022 IR Data Book'!$A$5))</f>
        <v>0</v>
      </c>
      <c r="M37" s="28">
        <f>K37-F37</f>
        <v>0</v>
      </c>
      <c r="N37" s="32"/>
      <c r="O37" s="28">
        <f>(H37+I37+J37+K37)-(C37+D37+E37+F37)</f>
        <v>-300.33218972934708</v>
      </c>
      <c r="P37" s="32">
        <f>O37/(C37+D37+E37+F37)</f>
        <v>-1</v>
      </c>
    </row>
    <row r="38" spans="2:20" ht="15" x14ac:dyDescent="0.25">
      <c r="B38" s="23"/>
      <c r="C38" s="30">
        <f>SUM(C36:C37)</f>
        <v>362.68583564776998</v>
      </c>
      <c r="D38" s="30">
        <f>SUM(D36:D37)</f>
        <v>212.11131078799758</v>
      </c>
      <c r="E38" s="30">
        <f t="shared" ref="E38:G38" si="24">SUM(E36:E37)</f>
        <v>225.18107063116048</v>
      </c>
      <c r="F38" s="30">
        <f t="shared" si="24"/>
        <v>-102.92435876490769</v>
      </c>
      <c r="G38" s="30">
        <f t="shared" si="24"/>
        <v>697.05385830202033</v>
      </c>
      <c r="H38" s="30">
        <f>SUM(H36:H37)</f>
        <v>131.50628018369574</v>
      </c>
      <c r="I38" s="30">
        <f>SUM(I36:I37)</f>
        <v>114.36039862767521</v>
      </c>
      <c r="J38" s="30">
        <f>SUM(J36:J37)</f>
        <v>-32.435221083441157</v>
      </c>
      <c r="K38" s="30">
        <f>SUM(K36:K37)</f>
        <v>-211.53763197581196</v>
      </c>
      <c r="L38" s="30">
        <f>SUM(L36:L37)</f>
        <v>1.893825752117843</v>
      </c>
      <c r="M38" s="40">
        <f>K38-F38</f>
        <v>-108.61327321090427</v>
      </c>
      <c r="N38" s="41">
        <f>M38/F38</f>
        <v>1.0552727703554683</v>
      </c>
      <c r="O38" s="40">
        <f>(H38+I38+J38+K38)-(C38+D38+E38+F38)</f>
        <v>-695.16003254990255</v>
      </c>
      <c r="P38" s="41">
        <f>O38/(C38+D38+E38+F38)</f>
        <v>-0.9972830998213954</v>
      </c>
    </row>
    <row r="39" spans="2:20" x14ac:dyDescent="0.2">
      <c r="B39" s="23"/>
      <c r="N39" s="33"/>
      <c r="P39" s="33"/>
    </row>
    <row r="40" spans="2:20" x14ac:dyDescent="0.2">
      <c r="B40" s="23" t="s">
        <v>57</v>
      </c>
      <c r="N40" s="33"/>
      <c r="P40" s="33"/>
    </row>
    <row r="41" spans="2:20" x14ac:dyDescent="0.2">
      <c r="B41" s="22" t="s">
        <v>58</v>
      </c>
      <c r="C41" s="31">
        <f>C32*1000/1464100000</f>
        <v>7.5610180910859652E-3</v>
      </c>
      <c r="D41" s="31">
        <f>D32*1000/1464100000</f>
        <v>1.1236451004656702E-2</v>
      </c>
      <c r="E41" s="31">
        <f t="shared" ref="E41:G41" si="25">E32*1000/1464100000</f>
        <v>5.8303305085484298E-3</v>
      </c>
      <c r="F41" s="31">
        <f t="shared" ref="F41" si="26">F32*1000/1464100000</f>
        <v>8.716669567325832E-3</v>
      </c>
      <c r="G41" s="31">
        <f t="shared" si="25"/>
        <v>3.3344469171616931E-2</v>
      </c>
      <c r="H41" s="31">
        <f t="shared" ref="H41:J42" si="27">H32*1000/1464100000</f>
        <v>8.6467777389232711E-3</v>
      </c>
      <c r="I41" s="31">
        <f t="shared" si="27"/>
        <v>8.2930991506991389E-3</v>
      </c>
      <c r="J41" s="31">
        <f t="shared" si="27"/>
        <v>6.8683005087124801E-3</v>
      </c>
      <c r="K41" s="31">
        <f t="shared" ref="K41:L41" si="28">K32*1000/1464100000</f>
        <v>6.1362524909414932E-3</v>
      </c>
      <c r="L41" s="31">
        <f t="shared" si="28"/>
        <v>2.9944429889276387E-2</v>
      </c>
      <c r="M41" s="28">
        <f>K41-F41</f>
        <v>-2.5804170763843387E-3</v>
      </c>
      <c r="N41" s="32">
        <f>M41/F41</f>
        <v>-0.29603245327285926</v>
      </c>
      <c r="O41" s="35">
        <f>(H41+I41+J41+K41)-(C41+D41+E41+F41)</f>
        <v>-3.4000392823405473E-3</v>
      </c>
      <c r="P41" s="32">
        <f>O41/(C41+D41+E41+F41)</f>
        <v>-0.10196711379153359</v>
      </c>
    </row>
    <row r="42" spans="2:20" x14ac:dyDescent="0.2">
      <c r="B42" s="22" t="s">
        <v>59</v>
      </c>
      <c r="C42" s="31">
        <f>C33*1000/1464100000</f>
        <v>9.9627051146073168E-4</v>
      </c>
      <c r="D42" s="31">
        <f>D33*1000/1464100000</f>
        <v>9.386181204671109E-4</v>
      </c>
      <c r="E42" s="31">
        <f t="shared" ref="E42:G42" si="29">E33*1000/1464100000</f>
        <v>6.7815949599431737E-3</v>
      </c>
      <c r="F42" s="31">
        <f t="shared" ref="F42" si="30">F33*1000/1464100000</f>
        <v>-1.1586270835169692E-4</v>
      </c>
      <c r="G42" s="31">
        <f t="shared" si="29"/>
        <v>8.6006208835193217E-3</v>
      </c>
      <c r="H42" s="31">
        <f t="shared" si="27"/>
        <v>1.502885199104085E-4</v>
      </c>
      <c r="I42" s="31">
        <f t="shared" si="27"/>
        <v>-4.4634172437212014E-6</v>
      </c>
      <c r="J42" s="31">
        <f t="shared" si="27"/>
        <v>5.0440979424770508E-4</v>
      </c>
      <c r="K42" s="31">
        <f t="shared" ref="K42:L42" si="31">K33*1000/1464100000</f>
        <v>1.6175908975810991E-4</v>
      </c>
      <c r="L42" s="31">
        <f t="shared" si="31"/>
        <v>8.1199398667250238E-4</v>
      </c>
      <c r="M42" s="28">
        <f>K42-F42</f>
        <v>2.7762179810980684E-4</v>
      </c>
      <c r="N42" s="32">
        <f>M42/F42</f>
        <v>-2.3961272963436713</v>
      </c>
      <c r="O42" s="35">
        <f>(H42+I42+J42+K42)-(C42+D42+E42+F42)</f>
        <v>-7.788626896846818E-3</v>
      </c>
      <c r="P42" s="32">
        <f>O42/(C42+D42+E42+F42)</f>
        <v>-0.90558891065312963</v>
      </c>
    </row>
    <row r="46" spans="2:20" x14ac:dyDescent="0.2">
      <c r="B46" s="192" t="s">
        <v>60</v>
      </c>
      <c r="C46" s="193">
        <v>2017</v>
      </c>
      <c r="D46" s="193">
        <v>2018</v>
      </c>
      <c r="E46" s="193">
        <v>2019</v>
      </c>
      <c r="F46" s="193">
        <v>2020</v>
      </c>
      <c r="G46" s="193">
        <v>2021</v>
      </c>
      <c r="H46" s="193">
        <v>2022</v>
      </c>
    </row>
    <row r="47" spans="2:20" x14ac:dyDescent="0.2">
      <c r="B47" s="71" t="s">
        <v>61</v>
      </c>
      <c r="C47" s="2">
        <v>0.16299979509596338</v>
      </c>
      <c r="D47" s="2">
        <v>0.16500034150672768</v>
      </c>
      <c r="E47" s="2">
        <v>0.16500000000885801</v>
      </c>
      <c r="F47" s="2">
        <v>0.13000000000697903</v>
      </c>
      <c r="G47" s="2">
        <v>0.13</v>
      </c>
      <c r="H47" s="2">
        <v>0.1</v>
      </c>
    </row>
    <row r="48" spans="2:20" x14ac:dyDescent="0.2">
      <c r="B48" s="71" t="s">
        <v>62</v>
      </c>
      <c r="C48" s="2">
        <v>0.54811333971828136</v>
      </c>
      <c r="D48" s="2">
        <v>0.49037725699554435</v>
      </c>
      <c r="E48" s="2">
        <v>0.48567852837348008</v>
      </c>
      <c r="F48" s="2">
        <v>0.71378800837877832</v>
      </c>
      <c r="G48" s="2">
        <v>0.84389534501584196</v>
      </c>
      <c r="H48" s="2">
        <v>0.84399999999999997</v>
      </c>
    </row>
    <row r="49" spans="2:8" x14ac:dyDescent="0.2">
      <c r="B49" s="23" t="s">
        <v>63</v>
      </c>
      <c r="C49" s="219">
        <v>0.16299999999999998</v>
      </c>
      <c r="D49" s="219">
        <v>0.16500000000000001</v>
      </c>
      <c r="E49" s="219">
        <v>0.16500000000000001</v>
      </c>
      <c r="F49" s="219">
        <v>0.13</v>
      </c>
      <c r="G49" s="20">
        <v>0.13</v>
      </c>
      <c r="H49" s="219">
        <v>9.5329999999999998E-2</v>
      </c>
    </row>
  </sheetData>
  <mergeCells count="1">
    <mergeCell ref="M5:P5"/>
  </mergeCells>
  <pageMargins left="0.7" right="0.7" top="0.75" bottom="0.75" header="0.3" footer="0.3"/>
  <pageSetup orientation="portrait" horizontalDpi="1200" verticalDpi="1200" r:id="rId1"/>
  <ignoredErrors>
    <ignoredError sqref="G6 L6" numberStoredAsText="1"/>
    <ignoredError sqref="F10 N17:P17 K10 K21 K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21968-C066-4BF5-942F-94C954F964D1}">
  <dimension ref="A1:M60"/>
  <sheetViews>
    <sheetView showGridLines="0" workbookViewId="0">
      <selection activeCell="L61" sqref="L61"/>
    </sheetView>
  </sheetViews>
  <sheetFormatPr defaultColWidth="9.140625" defaultRowHeight="12.75" x14ac:dyDescent="0.2"/>
  <cols>
    <col min="1" max="1" width="5.7109375" style="20" customWidth="1"/>
    <col min="2" max="2" width="52.85546875" style="20" customWidth="1"/>
    <col min="3" max="10" width="9.85546875" style="20" bestFit="1" customWidth="1"/>
    <col min="11" max="12" width="9.140625" style="20"/>
    <col min="13" max="13" width="9.140625" style="2"/>
    <col min="14" max="16384" width="9.140625" style="20"/>
  </cols>
  <sheetData>
    <row r="1" spans="1:12" x14ac:dyDescent="0.2">
      <c r="A1" s="177">
        <f>'2022 IR Data Book'!$A$5</f>
        <v>0.27228666339922669</v>
      </c>
    </row>
    <row r="2" spans="1:12" ht="15.75" x14ac:dyDescent="0.25">
      <c r="B2" s="137" t="s">
        <v>64</v>
      </c>
    </row>
    <row r="5" spans="1:12" ht="15" x14ac:dyDescent="0.25">
      <c r="B5" s="21" t="s">
        <v>65</v>
      </c>
      <c r="C5" s="183" t="s">
        <v>66</v>
      </c>
      <c r="D5" s="183" t="s">
        <v>67</v>
      </c>
      <c r="E5" s="183" t="s">
        <v>68</v>
      </c>
      <c r="F5" s="183" t="s">
        <v>69</v>
      </c>
      <c r="G5" s="183" t="s">
        <v>70</v>
      </c>
      <c r="H5" s="183" t="s">
        <v>71</v>
      </c>
      <c r="I5" s="183" t="s">
        <v>276</v>
      </c>
      <c r="J5" s="183" t="s">
        <v>306</v>
      </c>
    </row>
    <row r="6" spans="1:12" ht="15" x14ac:dyDescent="0.25">
      <c r="B6" s="21" t="s">
        <v>72</v>
      </c>
    </row>
    <row r="7" spans="1:12" x14ac:dyDescent="0.2">
      <c r="B7" s="20" t="s">
        <v>73</v>
      </c>
      <c r="C7" s="28">
        <f>957925*('2022 IR Data Book'!$A$5)</f>
        <v>260830.20203670423</v>
      </c>
      <c r="D7" s="28">
        <f>963437*('2022 IR Data Book'!$A$5)</f>
        <v>262331.04612536076</v>
      </c>
      <c r="E7" s="28">
        <f>980472*('2022 IR Data Book'!$A$5)</f>
        <v>266969.44943636662</v>
      </c>
      <c r="F7" s="28">
        <f>941430*('2022 IR Data Book'!$A$5)</f>
        <v>256338.83352393398</v>
      </c>
      <c r="G7" s="28">
        <f>918236*('2022 IR Data Book'!$A$5)</f>
        <v>250023.41665305232</v>
      </c>
      <c r="H7" s="28">
        <f>894104.544664551*('2022 IR Data Book'!$A$5)</f>
        <v>243452.74319679546</v>
      </c>
      <c r="I7" s="28">
        <f>866980.218712385*(('2022 IR Data Book'!$A$5))</f>
        <v>236067.15098632712</v>
      </c>
      <c r="J7" s="28">
        <f>883697.465735762*(('2022 IR Data Book'!$A$5))</f>
        <v>240619.0343995431</v>
      </c>
      <c r="L7" s="28"/>
    </row>
    <row r="8" spans="1:12" x14ac:dyDescent="0.2">
      <c r="B8" s="20" t="s">
        <v>74</v>
      </c>
      <c r="C8" s="28">
        <f>862334*('2022 IR Data Book'!$A$5)</f>
        <v>234802.04759570875</v>
      </c>
      <c r="D8" s="28">
        <f>910988*('2022 IR Data Book'!$A$5)</f>
        <v>248049.88291673473</v>
      </c>
      <c r="E8" s="28">
        <f>956865*('2022 IR Data Book'!$A$5)</f>
        <v>260541.57817350104</v>
      </c>
      <c r="F8" s="28">
        <f>894266*('2022 IR Data Book'!$A$5)</f>
        <v>243496.70533137285</v>
      </c>
      <c r="G8" s="28">
        <f>890902*('2022 IR Data Book'!$A$5)</f>
        <v>242580.73299569785</v>
      </c>
      <c r="H8" s="28">
        <f>921554.993062863*('2022 IR Data Book'!$A$5)</f>
        <v>250927.13419998446</v>
      </c>
      <c r="I8" s="28">
        <f>894136.917651471*(('2022 IR Data Book'!$A$5))</f>
        <v>243461.55792938816</v>
      </c>
      <c r="J8" s="28">
        <f>860524.41295994*(('2022 IR Data Book'!$A$5))</f>
        <v>234309.32117844032</v>
      </c>
      <c r="L8" s="28"/>
    </row>
    <row r="9" spans="1:12" x14ac:dyDescent="0.2">
      <c r="B9" s="20" t="s">
        <v>75</v>
      </c>
      <c r="C9" s="28">
        <f>1135511*('2022 IR Data Book'!$A$5)</f>
        <v>309184.50144311931</v>
      </c>
      <c r="D9" s="28">
        <f>1140170*('2022 IR Data Book'!$A$5)</f>
        <v>310453.0850078963</v>
      </c>
      <c r="E9" s="28">
        <f>1031265*('2022 IR Data Book'!$A$5)</f>
        <v>280799.70593040349</v>
      </c>
      <c r="F9" s="28">
        <f>1002568*('2022 IR Data Book'!$A$5)</f>
        <v>272985.89555083588</v>
      </c>
      <c r="G9" s="28">
        <f>1002568*('2022 IR Data Book'!$A$5)</f>
        <v>272985.89555083588</v>
      </c>
      <c r="H9" s="28">
        <f>1002568.07593687*('2022 IR Data Book'!$A$5)</f>
        <v>272985.91622743284</v>
      </c>
      <c r="I9" s="28">
        <f>1002568.07589721*(('2022 IR Data Book'!$A$5))</f>
        <v>272985.91621663398</v>
      </c>
      <c r="J9" s="28">
        <f>1757680.58612402*(('2022 IR Data Book'!$A$5))</f>
        <v>478592.9821173065</v>
      </c>
      <c r="L9" s="28"/>
    </row>
    <row r="10" spans="1:12" x14ac:dyDescent="0.2">
      <c r="B10" s="20" t="s">
        <v>76</v>
      </c>
      <c r="C10" s="28">
        <f>214565*('2022 IR Data Book'!$A$5)</f>
        <v>58423.187932255074</v>
      </c>
      <c r="D10" s="28">
        <f>212727*('2022 IR Data Book'!$A$5)</f>
        <v>57922.725044927298</v>
      </c>
      <c r="E10" s="28">
        <f>212034*('2022 IR Data Book'!$A$5)</f>
        <v>57734.030387191633</v>
      </c>
      <c r="F10" s="28">
        <f>201255*('2022 IR Data Book'!$A$5)</f>
        <v>54799.052442411368</v>
      </c>
      <c r="G10" s="28">
        <f>200563*('2022 IR Data Book'!$A$5)</f>
        <v>54610.630071339103</v>
      </c>
      <c r="H10" s="28">
        <f>199872.416294696*('2022 IR Data Book'!$A$5)</f>
        <v>54422.593338424005</v>
      </c>
      <c r="I10" s="28">
        <f>199184.256569187*(('2022 IR Data Book'!$A$5))</f>
        <v>54235.21662287943</v>
      </c>
      <c r="J10" s="28">
        <f>324361.667538301*(('2022 IR Data Book'!$A$5))</f>
        <v>88319.356188613237</v>
      </c>
      <c r="L10" s="28"/>
    </row>
    <row r="11" spans="1:12" x14ac:dyDescent="0.2">
      <c r="B11" s="20" t="s">
        <v>77</v>
      </c>
      <c r="C11" s="28">
        <f>37815*('2022 IR Data Book'!$A$5)</f>
        <v>10296.520176441758</v>
      </c>
      <c r="D11" s="28">
        <f>42848*('2022 IR Data Book'!$A$5)</f>
        <v>11666.938953330065</v>
      </c>
      <c r="E11" s="28">
        <f>35984*('2022 IR Data Book'!$A$5)</f>
        <v>9797.9632957577742</v>
      </c>
      <c r="F11" s="28">
        <f>37448.2731596125*('2022 IR Data Book'!$A$5)</f>
        <v>10196.665348693705</v>
      </c>
      <c r="G11" s="28">
        <f>40904*('2022 IR Data Book'!$A$5)</f>
        <v>11137.613679681968</v>
      </c>
      <c r="H11" s="28">
        <f>34374.6759942848*('2022 IR Data Book'!$A$5)</f>
        <v>9359.7658319133043</v>
      </c>
      <c r="I11" s="28">
        <f>33022.3487900181*(('2022 IR Data Book'!$A$5))</f>
        <v>8991.5451696395194</v>
      </c>
      <c r="J11" s="28">
        <f>24961.1986367492*(('2022 IR Data Book'!$A$5))</f>
        <v>6796.6014912457649</v>
      </c>
      <c r="L11" s="28"/>
    </row>
    <row r="12" spans="1:12" ht="25.5" x14ac:dyDescent="0.2">
      <c r="B12" s="42" t="s">
        <v>78</v>
      </c>
      <c r="C12" s="28">
        <f>23546*('2022 IR Data Book'!$A$5)</f>
        <v>6411.2617763981916</v>
      </c>
      <c r="D12" s="28">
        <f>23522*('2022 IR Data Book'!$A$5)</f>
        <v>6404.7268964766099</v>
      </c>
      <c r="E12" s="28">
        <f>17244*('2022 IR Data Book'!$A$5)</f>
        <v>4695.3112236562647</v>
      </c>
      <c r="F12" s="28">
        <f>17638*('2022 IR Data Book'!$A$5)</f>
        <v>4802.5921690355608</v>
      </c>
      <c r="G12" s="28">
        <f>17772*('2022 IR Data Book'!$A$5)</f>
        <v>4839.0785819310568</v>
      </c>
      <c r="H12" s="28">
        <f>17613.6880596444*('2022 IR Data Book'!$A$5)</f>
        <v>4795.9723519153731</v>
      </c>
      <c r="I12" s="28">
        <f>17566.1948018073*(('2022 IR Data Book'!$A$5))</f>
        <v>4783.0405712049505</v>
      </c>
      <c r="J12" s="28">
        <f>17666.6902792616*(('2022 IR Data Book'!$A$5))</f>
        <v>4810.4041494476933</v>
      </c>
      <c r="L12" s="28"/>
    </row>
    <row r="13" spans="1:12" x14ac:dyDescent="0.2">
      <c r="B13" s="42" t="s">
        <v>79</v>
      </c>
      <c r="C13" s="28">
        <f>7588*('2022 IR Data Book'!$A$5)</f>
        <v>2066.111201873332</v>
      </c>
      <c r="D13" s="28">
        <f>7601*('2022 IR Data Book'!$A$5)</f>
        <v>2069.6509284975223</v>
      </c>
      <c r="E13" s="28">
        <f>7275*('2022 IR Data Book'!$A$5)</f>
        <v>1980.8854762293743</v>
      </c>
      <c r="F13" s="28">
        <f>8006*('2022 IR Data Book'!$A$5)</f>
        <v>2179.9270271742089</v>
      </c>
      <c r="G13" s="28">
        <f>7971*('2022 IR Data Book'!$A$5)</f>
        <v>2170.3969939552358</v>
      </c>
      <c r="H13" s="28">
        <f>21150.4841613572*('2022 IR Data Book'!$A$5)</f>
        <v>5758.994761574143</v>
      </c>
      <c r="I13" s="28">
        <f>21022.0845693825*(('2022 IR Data Book'!$A$5))</f>
        <v>5724.0332650935297</v>
      </c>
      <c r="J13" s="28">
        <f>28134.9003685037*(('2022 IR Data Book'!$A$5))</f>
        <v>7660.7581464095456</v>
      </c>
      <c r="L13" s="28"/>
    </row>
    <row r="14" spans="1:12" x14ac:dyDescent="0.2">
      <c r="B14" s="20" t="s">
        <v>80</v>
      </c>
      <c r="C14" s="28">
        <f>4572*('2022 IR Data Book'!$A$5)</f>
        <v>1244.8946250612644</v>
      </c>
      <c r="D14" s="28">
        <f>3834*('2022 IR Data Book'!$A$5)</f>
        <v>1043.9470674726351</v>
      </c>
      <c r="E14" s="28">
        <f>3700*('2022 IR Data Book'!$A$5)</f>
        <v>1007.4606545771387</v>
      </c>
      <c r="F14" s="28">
        <f>4115*('2022 IR Data Book'!$A$5)</f>
        <v>1120.4596198878178</v>
      </c>
      <c r="G14" s="28">
        <f>4099*('2022 IR Data Book'!$A$5)</f>
        <v>1116.1030332734301</v>
      </c>
      <c r="H14" s="28">
        <f>3531.41643549816*('2022 IR Data Book'!$A$5)</f>
        <v>961.55759829498436</v>
      </c>
      <c r="I14" s="28">
        <f>3394.74308190623*(('2022 IR Data Book'!$A$5))</f>
        <v>924.34326686985514</v>
      </c>
      <c r="J14" s="28">
        <f>5911.92045683834*(('2022 IR Data Book'!$A$5))</f>
        <v>1609.7370954741436</v>
      </c>
      <c r="L14" s="28"/>
    </row>
    <row r="15" spans="1:12" ht="15.75" thickBot="1" x14ac:dyDescent="0.3">
      <c r="C15" s="43">
        <f t="shared" ref="C15:E15" si="0">SUM(C7:C14)</f>
        <v>883258.7267875619</v>
      </c>
      <c r="D15" s="43">
        <f t="shared" si="0"/>
        <v>899942.00294069585</v>
      </c>
      <c r="E15" s="43">
        <f t="shared" si="0"/>
        <v>883526.38457768341</v>
      </c>
      <c r="F15" s="43">
        <f>SUM(F7:F14)</f>
        <v>845920.13101334544</v>
      </c>
      <c r="G15" s="43">
        <f>SUM(G7:G14)</f>
        <v>839463.86755976698</v>
      </c>
      <c r="H15" s="43">
        <f>SUM(H7:H14)</f>
        <v>842664.67750633461</v>
      </c>
      <c r="I15" s="43">
        <f>SUM(I7:I14)</f>
        <v>827172.80402803665</v>
      </c>
      <c r="J15" s="43">
        <f>SUM(J7:J14)</f>
        <v>1062718.1947664802</v>
      </c>
      <c r="L15" s="28"/>
    </row>
    <row r="16" spans="1:12" ht="15" x14ac:dyDescent="0.25">
      <c r="B16" s="21" t="s">
        <v>81</v>
      </c>
      <c r="C16" s="28"/>
      <c r="D16" s="28"/>
      <c r="E16" s="28"/>
      <c r="F16" s="28"/>
      <c r="G16" s="28"/>
      <c r="H16" s="28"/>
      <c r="I16" s="28"/>
      <c r="J16" s="28"/>
      <c r="L16" s="28"/>
    </row>
    <row r="17" spans="2:12" x14ac:dyDescent="0.2">
      <c r="B17" s="20" t="s">
        <v>82</v>
      </c>
      <c r="C17" s="28">
        <f>1072585*('2022 IR Data Book'!$A$5)</f>
        <v>292050.59086205956</v>
      </c>
      <c r="D17" s="28">
        <f>1142044*('2022 IR Data Book'!$A$5)</f>
        <v>310963.35021510645</v>
      </c>
      <c r="E17" s="28">
        <f>1076168*('2022 IR Data Book'!$A$5)</f>
        <v>293026.19397701899</v>
      </c>
      <c r="F17" s="28">
        <f>1219422*('2022 IR Data Book'!$A$5)</f>
        <v>332032.34765561181</v>
      </c>
      <c r="G17" s="28">
        <f>1164185*('2022 IR Data Book'!$A$5)</f>
        <v>316992.04922942875</v>
      </c>
      <c r="H17" s="28">
        <f>1144011.21590874*('2022 IR Data Book'!$A$5)</f>
        <v>311498.9968710831</v>
      </c>
      <c r="I17" s="28">
        <f>1095736.37086374*(('2022 IR Data Book'!$A$5))</f>
        <v>298354.40038766543</v>
      </c>
      <c r="J17" s="28">
        <f>1130410.06190824*(('2022 IR Data Book'!$A$5))</f>
        <v>307795.58402990794</v>
      </c>
      <c r="L17" s="28"/>
    </row>
    <row r="18" spans="2:12" x14ac:dyDescent="0.2">
      <c r="B18" s="20" t="s">
        <v>83</v>
      </c>
      <c r="C18" s="28">
        <f>296178*('2022 IR Data Book'!$A$5)</f>
        <v>80645.319392256162</v>
      </c>
      <c r="D18" s="28">
        <f>305444*('2022 IR Data Book'!$A$5)</f>
        <v>83168.327615313392</v>
      </c>
      <c r="E18" s="28">
        <f>353365*('2022 IR Data Book'!$A$5)</f>
        <v>96216.576812067739</v>
      </c>
      <c r="F18" s="28">
        <f>293709*('2022 IR Data Book'!$A$5)</f>
        <v>79973.043620323471</v>
      </c>
      <c r="G18" s="28">
        <f>310784*('2022 IR Data Book'!$A$5)</f>
        <v>84622.338397865271</v>
      </c>
      <c r="H18" s="28">
        <f>312682.133407311*('2022 IR Data Book'!$A$5)</f>
        <v>85139.174810028577</v>
      </c>
      <c r="I18" s="28">
        <f>270662.67988231*(('2022 IR Data Book'!$A$5))</f>
        <v>73697.838011847183</v>
      </c>
      <c r="J18" s="28">
        <f>284145.951605867*(('2022 IR Data Book'!$A$5))</f>
        <v>77369.153081159675</v>
      </c>
      <c r="L18" s="28"/>
    </row>
    <row r="19" spans="2:12" x14ac:dyDescent="0.2">
      <c r="B19" s="20" t="s">
        <v>84</v>
      </c>
      <c r="C19" s="28">
        <f>251949*('2022 IR Data Book'!$A$5)</f>
        <v>68602.352556771759</v>
      </c>
      <c r="D19" s="28">
        <f>61854*('2022 IR Data Book'!$A$5)</f>
        <v>16842.019277895768</v>
      </c>
      <c r="E19" s="28">
        <f>372533*('2022 IR Data Book'!$A$5)</f>
        <v>101435.76757610412</v>
      </c>
      <c r="F19" s="28">
        <f>57641*('2022 IR Data Book'!$A$5)</f>
        <v>15694.875564994825</v>
      </c>
      <c r="G19" s="28">
        <f>57972*('2022 IR Data Book'!$A$5)</f>
        <v>15785.00245057997</v>
      </c>
      <c r="H19" s="28">
        <f>10502.4383133088*('2022 IR Data Book'!$A$5)</f>
        <v>2859.6738858870553</v>
      </c>
      <c r="I19" s="28">
        <f>10683.5332031424*(('2022 IR Data Book'!$A$5))</f>
        <v>2908.9836091984971</v>
      </c>
      <c r="J19" s="28">
        <f>9488.2925181047*(('2022 IR Data Book'!$A$5))</f>
        <v>2583.5355111105755</v>
      </c>
      <c r="L19" s="28"/>
    </row>
    <row r="20" spans="2:12" x14ac:dyDescent="0.2">
      <c r="B20" s="20" t="s">
        <v>85</v>
      </c>
      <c r="C20" s="28">
        <f>798722*('2022 IR Data Book'!$A$5)</f>
        <v>217481.34836355713</v>
      </c>
      <c r="D20" s="28">
        <f>842966*('2022 IR Data Book'!$A$5)</f>
        <v>229528.39949899254</v>
      </c>
      <c r="E20" s="28">
        <f>778329*('2022 IR Data Book'!$A$5)</f>
        <v>211928.6064368567</v>
      </c>
      <c r="F20" s="28">
        <f>711800*('2022 IR Data Book'!$A$5)</f>
        <v>193813.64700756955</v>
      </c>
      <c r="G20" s="28">
        <f>704333*('2022 IR Data Book'!$A$5)</f>
        <v>191780.48249196753</v>
      </c>
      <c r="H20" s="28">
        <f>581871.5*('2022 IR Data Book'!$A$5)</f>
        <v>158435.84926210315</v>
      </c>
      <c r="I20" s="28">
        <f>624511.215208246*(('2022 IR Data Book'!$A$5))</f>
        <v>170046.07504444971</v>
      </c>
      <c r="J20" s="28">
        <f>758954.142799271*(('2022 IR Data Book'!$A$5))</f>
        <v>206653.09121583373</v>
      </c>
      <c r="L20" s="28"/>
    </row>
    <row r="21" spans="2:12" ht="15.75" thickBot="1" x14ac:dyDescent="0.3">
      <c r="C21" s="43">
        <f t="shared" ref="C21:E21" si="1">SUM(C17:C20)</f>
        <v>658779.61117464467</v>
      </c>
      <c r="D21" s="43">
        <f t="shared" si="1"/>
        <v>640502.09660730814</v>
      </c>
      <c r="E21" s="43">
        <f t="shared" si="1"/>
        <v>702607.14480204752</v>
      </c>
      <c r="F21" s="43">
        <f>SUM(F17:F20)</f>
        <v>621513.91384849965</v>
      </c>
      <c r="G21" s="43">
        <f>SUM(G17:G20)</f>
        <v>609179.87256984157</v>
      </c>
      <c r="H21" s="43">
        <f>SUM(H17:H20)</f>
        <v>557933.69482910191</v>
      </c>
      <c r="I21" s="43">
        <f>SUM(I17:I20)</f>
        <v>545007.29705316084</v>
      </c>
      <c r="J21" s="43">
        <f>SUM(J17:J20)</f>
        <v>594401.36383801186</v>
      </c>
      <c r="K21" s="28"/>
      <c r="L21" s="28"/>
    </row>
    <row r="22" spans="2:12" x14ac:dyDescent="0.2">
      <c r="B22" s="20" t="s">
        <v>86</v>
      </c>
      <c r="C22" s="28">
        <f>223270*('2022 IR Data Book'!$A$5)</f>
        <v>60793.443337145342</v>
      </c>
      <c r="D22" s="28">
        <f>222236*('2022 IR Data Book'!$A$5)</f>
        <v>60511.898927190545</v>
      </c>
      <c r="E22" s="28">
        <f>10796*('2022 IR Data Book'!$A$5)</f>
        <v>2939.6068180580514</v>
      </c>
      <c r="F22" s="28">
        <f>10650*('2022 IR Data Book'!$A$5)</f>
        <v>2899.8529652017642</v>
      </c>
      <c r="G22" s="28">
        <f>6706*('2022 IR Data Book'!$A$5)</f>
        <v>1825.9543647552141</v>
      </c>
      <c r="H22" s="28">
        <f>4600.82545261298*('2022 IR Data Book'!$A$5)</f>
        <v>1252.7434113742254</v>
      </c>
      <c r="I22" s="28">
        <f>7992.15309642213*(('2022 IR Data Book'!$A$5))</f>
        <v>2176.1567000005798</v>
      </c>
      <c r="J22" s="28">
        <f>6569.38132120438*(('2022 IR Data Book'!$A$5))</f>
        <v>1788.754920547944</v>
      </c>
      <c r="L22" s="28"/>
    </row>
    <row r="23" spans="2:12" ht="15.75" thickBot="1" x14ac:dyDescent="0.3">
      <c r="B23" s="21" t="s">
        <v>87</v>
      </c>
      <c r="C23" s="44">
        <f t="shared" ref="C23:E23" si="2">C15+C21+C22</f>
        <v>1602831.7812993517</v>
      </c>
      <c r="D23" s="44">
        <f t="shared" si="2"/>
        <v>1600955.9984751947</v>
      </c>
      <c r="E23" s="44">
        <f t="shared" si="2"/>
        <v>1589073.1361977891</v>
      </c>
      <c r="F23" s="44">
        <f>F15+F21+F22</f>
        <v>1470333.8978270469</v>
      </c>
      <c r="G23" s="44">
        <f>G15+G21+G22</f>
        <v>1450469.6944943639</v>
      </c>
      <c r="H23" s="44">
        <f>H15+H21+H22</f>
        <v>1401851.1157468108</v>
      </c>
      <c r="I23" s="44">
        <f>I15+I21+I22</f>
        <v>1374356.2577811982</v>
      </c>
      <c r="J23" s="44">
        <f>J15+J21+J22</f>
        <v>1658908.3135250399</v>
      </c>
      <c r="L23" s="28"/>
    </row>
    <row r="24" spans="2:12" ht="13.5" thickTop="1" x14ac:dyDescent="0.2">
      <c r="C24" s="28"/>
      <c r="D24" s="28"/>
      <c r="E24" s="28"/>
      <c r="F24" s="28"/>
      <c r="G24" s="28"/>
      <c r="H24" s="28"/>
      <c r="I24" s="28"/>
      <c r="J24" s="28"/>
      <c r="L24" s="28"/>
    </row>
    <row r="25" spans="2:12" ht="15" x14ac:dyDescent="0.25">
      <c r="B25" s="21" t="s">
        <v>88</v>
      </c>
      <c r="L25" s="28"/>
    </row>
    <row r="26" spans="2:12" x14ac:dyDescent="0.2">
      <c r="B26" s="20" t="s">
        <v>89</v>
      </c>
      <c r="C26" s="28">
        <f>1464100*('2022 IR Data Book'!$A$5)</f>
        <v>398654.90388280782</v>
      </c>
      <c r="D26" s="28">
        <f>1464100*('2022 IR Data Book'!$A$5)</f>
        <v>398654.90388280782</v>
      </c>
      <c r="E26" s="28">
        <f>1464100*('2022 IR Data Book'!$A$5)</f>
        <v>398654.90388280782</v>
      </c>
      <c r="F26" s="28">
        <f>1464100*('2022 IR Data Book'!$A$5)</f>
        <v>398654.90388280782</v>
      </c>
      <c r="G26" s="28">
        <f>1464100*('2022 IR Data Book'!$A$5)</f>
        <v>398654.90388280782</v>
      </c>
      <c r="H26" s="28">
        <f>1464100.0005029*('2022 IR Data Book'!$A$5)</f>
        <v>398654.90401974076</v>
      </c>
      <c r="I26" s="28">
        <f>1464100.0005029*(('2022 IR Data Book'!$A$5))</f>
        <v>398654.90401974076</v>
      </c>
      <c r="J26" s="28">
        <f>1464100.0005029*(('2022 IR Data Book'!$A$5))</f>
        <v>398654.90401974076</v>
      </c>
      <c r="L26" s="28"/>
    </row>
    <row r="27" spans="2:12" x14ac:dyDescent="0.2">
      <c r="B27" s="20" t="s">
        <v>90</v>
      </c>
      <c r="C27" s="28">
        <f>408929*('2022 IR Data Book'!$A$5)</f>
        <v>111345.91297718236</v>
      </c>
      <c r="D27" s="28">
        <f>408929*('2022 IR Data Book'!$A$5)</f>
        <v>111345.91297718236</v>
      </c>
      <c r="E27" s="28">
        <f>(387956)*('2022 IR Data Book'!$A$5)</f>
        <v>105635.24478571038</v>
      </c>
      <c r="F27" s="28">
        <f>440802*('2022 IR Data Book'!$A$5)</f>
        <v>120024.50579970592</v>
      </c>
      <c r="G27" s="28">
        <f>440802*('2022 IR Data Book'!$A$5)</f>
        <v>120024.50579970592</v>
      </c>
      <c r="H27" s="28">
        <f>440802.007164254*('2022 IR Data Book'!$A$5)</f>
        <v>120024.50775043675</v>
      </c>
      <c r="I27" s="28">
        <f>440802.009766593*(('2022 IR Data Book'!$A$5))</f>
        <v>120024.50845901894</v>
      </c>
      <c r="J27" s="28">
        <f>471733.646084619*(('2022 IR Data Book'!$A$5))</f>
        <v>128446.78050553259</v>
      </c>
      <c r="L27" s="28"/>
    </row>
    <row r="28" spans="2:12" x14ac:dyDescent="0.2">
      <c r="B28" s="20" t="s">
        <v>91</v>
      </c>
      <c r="C28" s="28">
        <f>-346490*('2022 IR Data Book'!$A$5)</f>
        <v>-94344.606001198059</v>
      </c>
      <c r="D28" s="28">
        <f>-330959*('2022 IR Data Book'!$A$5)</f>
        <v>-90115.721831944669</v>
      </c>
      <c r="E28" s="28">
        <f>-245213*('2022 IR Data Book'!$A$5)</f>
        <v>-66768.229592114571</v>
      </c>
      <c r="F28" s="28">
        <f>-398529*('2022 IR Data Book'!$A$5)</f>
        <v>-108514.13167783042</v>
      </c>
      <c r="G28" s="28">
        <f>-434219*('2022 IR Data Book'!$A$5)</f>
        <v>-118232.04269454881</v>
      </c>
      <c r="H28" s="28">
        <f>-440973.294269109*('2022 IR Data Book'!$A$5)</f>
        <v>-120071.14694470103</v>
      </c>
      <c r="I28" s="28">
        <f>-458575.470851612*(('2022 IR Data Book'!$A$5))</f>
        <v>-124863.98487491476</v>
      </c>
      <c r="J28" s="28">
        <f>-529431.253823377*(('2022 IR Data Book'!$A$5))</f>
        <v>-144157.06960283639</v>
      </c>
      <c r="L28" s="28"/>
    </row>
    <row r="29" spans="2:12" x14ac:dyDescent="0.2">
      <c r="B29" s="20" t="s">
        <v>92</v>
      </c>
      <c r="C29" s="28">
        <f>-335186*('2022 IR Data Book'!$A$5)</f>
        <v>-91266.677558133204</v>
      </c>
      <c r="D29" s="28">
        <f>-335186*('2022 IR Data Book'!$A$5)</f>
        <v>-91266.677558133204</v>
      </c>
      <c r="E29" s="28">
        <f>(-329759)*('2022 IR Data Book'!$A$5)</f>
        <v>-89788.977835865589</v>
      </c>
      <c r="F29" s="28">
        <f>-329759*('2022 IR Data Book'!$A$5)</f>
        <v>-89788.977835865589</v>
      </c>
      <c r="G29" s="28">
        <f>-329759*('2022 IR Data Book'!$A$5)</f>
        <v>-89788.977835865589</v>
      </c>
      <c r="H29" s="28">
        <f>-329758.835389051*('2022 IR Data Book'!$A$5)</f>
        <v>-89788.933014499533</v>
      </c>
      <c r="I29" s="28">
        <f>-329758.835389051*(('2022 IR Data Book'!$A$5))</f>
        <v>-89788.933014499533</v>
      </c>
      <c r="J29" s="28">
        <f>-329908.082507851*(('2022 IR Data Book'!$A$5))</f>
        <v>-89829.571014499539</v>
      </c>
      <c r="L29" s="28"/>
    </row>
    <row r="30" spans="2:12" x14ac:dyDescent="0.2">
      <c r="B30" s="20" t="s">
        <v>93</v>
      </c>
      <c r="C30" s="28">
        <f>-7123*('2022 IR Data Book'!$A$5)</f>
        <v>-1939.4979033926918</v>
      </c>
      <c r="D30" s="28">
        <f>-7148*('2022 IR Data Book'!$A$5)</f>
        <v>-1946.3050699776725</v>
      </c>
      <c r="E30" s="28">
        <f>-12372*('2022 IR Data Book'!$A$5)</f>
        <v>-3368.7305995752326</v>
      </c>
      <c r="F30" s="28">
        <f>-12008*('2022 IR Data Book'!$A$5)</f>
        <v>-3269.6182540979139</v>
      </c>
      <c r="G30" s="28">
        <f>-11881*('2022 IR Data Book'!$A$5)</f>
        <v>-3235.0378478462121</v>
      </c>
      <c r="H30" s="28">
        <f>-12015.4950132358*('2022 IR Data Book'!$A$5)</f>
        <v>-3271.6590462440236</v>
      </c>
      <c r="I30" s="28">
        <f>-12031.0908187677*(('2022 IR Data Book'!$A$5))</f>
        <v>-3275.9055760953274</v>
      </c>
      <c r="J30" s="28">
        <f>-11804.0196227111*(('2022 IR Data Book'!$A$5))</f>
        <v>-3214.077117767004</v>
      </c>
      <c r="L30" s="28"/>
    </row>
    <row r="31" spans="2:12" x14ac:dyDescent="0.2">
      <c r="B31" s="20" t="s">
        <v>94</v>
      </c>
      <c r="C31" s="36">
        <f>1549217*('2022 IR Data Book'!$A$5)</f>
        <v>421831.12781135977</v>
      </c>
      <c r="D31" s="36">
        <f>1424350*('2022 IR Data Book'!$A$5)</f>
        <v>387831.50901268853</v>
      </c>
      <c r="E31" s="36">
        <f>1507169*('2022 IR Data Book'!$A$5)</f>
        <v>410382.01818874909</v>
      </c>
      <c r="F31" s="36">
        <f>1500570*('2022 IR Data Book'!$A$5)</f>
        <v>408585.19849697762</v>
      </c>
      <c r="G31" s="36">
        <f>1547872*('2022 IR Data Book'!$A$5)</f>
        <v>421464.90224908781</v>
      </c>
      <c r="H31" s="36">
        <f>1402107.88355813*('2022 IR Data Book'!$A$5)</f>
        <v>381775.27733979467</v>
      </c>
      <c r="I31" s="36">
        <f>1441751.34506467*(('2022 IR Data Book'!$A$5))</f>
        <v>392569.66319900617</v>
      </c>
      <c r="J31" s="36">
        <f>1444833.6974776*(('2022 IR Data Book'!$A$5))</f>
        <v>393408.94665294344</v>
      </c>
      <c r="L31" s="28"/>
    </row>
    <row r="32" spans="2:12" x14ac:dyDescent="0.2">
      <c r="C32" s="28"/>
      <c r="D32" s="28"/>
      <c r="E32" s="28"/>
      <c r="F32" s="28"/>
      <c r="G32" s="28"/>
      <c r="H32" s="28"/>
      <c r="I32" s="28"/>
      <c r="J32" s="28"/>
      <c r="L32" s="28"/>
    </row>
    <row r="33" spans="2:12" ht="15" x14ac:dyDescent="0.25">
      <c r="B33" s="21" t="s">
        <v>95</v>
      </c>
      <c r="C33" s="28">
        <f>(SUM(C26:C32))</f>
        <v>744281.16320862598</v>
      </c>
      <c r="D33" s="28">
        <f t="shared" ref="D33:H33" si="3">(SUM(D26:D32))</f>
        <v>714503.62141262321</v>
      </c>
      <c r="E33" s="28">
        <f t="shared" si="3"/>
        <v>754746.22882971191</v>
      </c>
      <c r="F33" s="28">
        <f t="shared" si="3"/>
        <v>725691.88041169744</v>
      </c>
      <c r="G33" s="28">
        <f t="shared" si="3"/>
        <v>728888.25355334091</v>
      </c>
      <c r="H33" s="28">
        <f t="shared" si="3"/>
        <v>687322.95010452764</v>
      </c>
      <c r="I33" s="28">
        <f t="shared" ref="I33:J33" si="4">(SUM(I26:I32))</f>
        <v>693320.25221225619</v>
      </c>
      <c r="J33" s="28">
        <f t="shared" si="4"/>
        <v>683309.91344311391</v>
      </c>
      <c r="L33" s="28"/>
    </row>
    <row r="34" spans="2:12" x14ac:dyDescent="0.2">
      <c r="B34" s="20" t="s">
        <v>96</v>
      </c>
      <c r="C34" s="28">
        <f>14620*('2022 IR Data Book'!$A$5)</f>
        <v>3980.8310188966943</v>
      </c>
      <c r="D34" s="28">
        <f>14046*('2022 IR Data Book'!$A$5)</f>
        <v>3824.5384741055382</v>
      </c>
      <c r="E34" s="28">
        <f>11564*('2022 IR Data Book'!$A$5)</f>
        <v>3148.7229755486574</v>
      </c>
      <c r="F34" s="28">
        <f>10817*('2022 IR Data Book'!$A$5)</f>
        <v>2945.3248379894353</v>
      </c>
      <c r="G34" s="28">
        <f>10634*('2022 IR Data Book'!$A$5)</f>
        <v>2895.4963785873765</v>
      </c>
      <c r="H34" s="28">
        <f>9944.41812074526*('2022 IR Data Book'!$A$5)</f>
        <v>2707.7324295445351</v>
      </c>
      <c r="I34" s="28">
        <f>9251.50572697743*(('2022 IR Data Book'!$A$5))</f>
        <v>2519.0616258175214</v>
      </c>
      <c r="J34" s="28">
        <f>8864.92509707935*(('2022 IR Data Book'!$A$5))</f>
        <v>2413.8008759678019</v>
      </c>
      <c r="L34" s="28"/>
    </row>
    <row r="35" spans="2:12" ht="15.75" thickBot="1" x14ac:dyDescent="0.3">
      <c r="B35" s="21" t="s">
        <v>97</v>
      </c>
      <c r="C35" s="43">
        <f t="shared" ref="C35:E35" si="5">SUM(C33:C34)</f>
        <v>748261.99422752263</v>
      </c>
      <c r="D35" s="43">
        <f t="shared" si="5"/>
        <v>718328.15988672874</v>
      </c>
      <c r="E35" s="43">
        <f t="shared" si="5"/>
        <v>757894.95180526061</v>
      </c>
      <c r="F35" s="43">
        <f>SUM(F33:F34)</f>
        <v>728637.20524968684</v>
      </c>
      <c r="G35" s="43">
        <f>SUM(G33:G34)</f>
        <v>731783.74993192824</v>
      </c>
      <c r="H35" s="43">
        <f>SUM(H33:H34)</f>
        <v>690030.6825340722</v>
      </c>
      <c r="I35" s="43">
        <f>SUM(I33:I34)</f>
        <v>695839.31383807375</v>
      </c>
      <c r="J35" s="43">
        <f>SUM(J33:J34)</f>
        <v>685723.71431908174</v>
      </c>
      <c r="L35" s="28"/>
    </row>
    <row r="36" spans="2:12" x14ac:dyDescent="0.2">
      <c r="C36" s="28"/>
      <c r="D36" s="28"/>
      <c r="E36" s="28"/>
      <c r="F36" s="28"/>
      <c r="G36" s="28"/>
      <c r="H36" s="28"/>
      <c r="I36" s="28"/>
      <c r="J36" s="28"/>
      <c r="L36" s="28"/>
    </row>
    <row r="37" spans="2:12" ht="15" x14ac:dyDescent="0.25">
      <c r="B37" s="21" t="s">
        <v>98</v>
      </c>
      <c r="C37" s="28"/>
      <c r="D37" s="28"/>
      <c r="E37" s="28"/>
      <c r="F37" s="28"/>
      <c r="G37" s="28"/>
      <c r="H37" s="28"/>
      <c r="I37" s="28"/>
      <c r="J37" s="28"/>
      <c r="L37" s="28"/>
    </row>
    <row r="38" spans="2:12" ht="15" x14ac:dyDescent="0.25">
      <c r="B38" s="21" t="s">
        <v>99</v>
      </c>
      <c r="C38" s="28"/>
      <c r="D38" s="28"/>
      <c r="E38" s="28"/>
      <c r="F38" s="28"/>
      <c r="G38" s="28"/>
      <c r="H38" s="28"/>
      <c r="I38" s="28"/>
      <c r="J38" s="28"/>
      <c r="L38" s="28"/>
    </row>
    <row r="39" spans="2:12" x14ac:dyDescent="0.2">
      <c r="B39" s="20" t="s">
        <v>100</v>
      </c>
      <c r="C39" s="28">
        <f>155368*('2022 IR Data Book'!$A$5)</f>
        <v>42304.634319011049</v>
      </c>
      <c r="D39" s="28">
        <f>146488*('2022 IR Data Book'!$A$5)</f>
        <v>39886.728748025918</v>
      </c>
      <c r="E39" s="28">
        <f>139069*('2022 IR Data Book'!$A$5)</f>
        <v>37866.63399226706</v>
      </c>
      <c r="F39" s="28">
        <f>137259*('2022 IR Data Book'!$A$5)</f>
        <v>37373.79513151446</v>
      </c>
      <c r="G39" s="28">
        <f>137922*('2022 IR Data Book'!$A$5)</f>
        <v>37554.321189348142</v>
      </c>
      <c r="H39" s="28">
        <f>122172.398073862*('2022 IR Data Book'!$A$5)</f>
        <v>33265.914631013991</v>
      </c>
      <c r="I39" s="28">
        <f>110045.869283579*(('2022 IR Data Book'!$A$5))</f>
        <v>29964.022568093176</v>
      </c>
      <c r="J39" s="28">
        <f>1086304.43086358*(('2022 IR Data Book'!$A$5))</f>
        <v>295786.20891564013</v>
      </c>
      <c r="L39" s="28"/>
    </row>
    <row r="40" spans="2:12" x14ac:dyDescent="0.2">
      <c r="B40" s="20" t="s">
        <v>101</v>
      </c>
      <c r="C40" s="28">
        <f>669312*('2022 IR Data Book'!$A$5)</f>
        <v>182244.73125306322</v>
      </c>
      <c r="D40" s="28">
        <f>720024*('2022 IR Data Book'!$A$5)</f>
        <v>196052.93252736481</v>
      </c>
      <c r="E40" s="28">
        <f>730981*('2022 IR Data Book'!$A$5)</f>
        <v>199036.37749823014</v>
      </c>
      <c r="F40" s="28">
        <f>754933*('2022 IR Data Book'!$A$5)</f>
        <v>205558.18765996842</v>
      </c>
      <c r="G40" s="28">
        <f>744238*('2022 IR Data Book'!$A$5)</f>
        <v>202646.08179491368</v>
      </c>
      <c r="H40" s="28">
        <f>794947.789637232*('2022 IR Data Book'!$A$5)</f>
        <v>216453.68121691226</v>
      </c>
      <c r="I40" s="28">
        <f>774058.801887165*(('2022 IR Data Book'!$A$5))</f>
        <v>210765.88844065921</v>
      </c>
      <c r="J40" s="28">
        <f>757036.036674961*(('2022 IR Data Book'!$A$5))</f>
        <v>206130.81649919975</v>
      </c>
      <c r="L40" s="28"/>
    </row>
    <row r="41" spans="2:12" x14ac:dyDescent="0.2">
      <c r="B41" s="20" t="s">
        <v>102</v>
      </c>
      <c r="C41" s="28">
        <f>152120*('2022 IR Data Book'!$A$5)</f>
        <v>41420.247236290365</v>
      </c>
      <c r="D41" s="28">
        <f>151634*('2022 IR Data Book'!$A$5)</f>
        <v>41287.915917878337</v>
      </c>
      <c r="E41" s="28">
        <f>151071*('2022 IR Data Book'!$A$5)</f>
        <v>41134.618526384576</v>
      </c>
      <c r="F41" s="28">
        <f>148822*('2022 IR Data Book'!$A$5)</f>
        <v>40522.245820399716</v>
      </c>
      <c r="G41" s="28">
        <f>148248*('2022 IR Data Book'!$A$5)</f>
        <v>40365.953275608561</v>
      </c>
      <c r="H41" s="28">
        <f>152316.131298976*('2022 IR Data Book'!$A$5)</f>
        <v>41473.651173276696</v>
      </c>
      <c r="I41" s="28">
        <f>154912.371507284*(('2022 IR Data Book'!$A$5))</f>
        <v>42180.572756979796</v>
      </c>
      <c r="J41" s="28">
        <f>164135.805930721*(('2022 IR Data Book'!$A$5))</f>
        <v>44691.990941219025</v>
      </c>
      <c r="L41" s="28"/>
    </row>
    <row r="42" spans="2:12" x14ac:dyDescent="0.2">
      <c r="B42" s="20" t="s">
        <v>103</v>
      </c>
      <c r="C42" s="28">
        <f>58340*('2022 IR Data Book'!$A$5)</f>
        <v>15885.203942710885</v>
      </c>
      <c r="D42" s="28">
        <f>60872*('2022 IR Data Book'!$A$5)</f>
        <v>16574.633774437727</v>
      </c>
      <c r="E42" s="28">
        <f>67701*('2022 IR Data Book'!$A$5)</f>
        <v>18434.079398791047</v>
      </c>
      <c r="F42" s="28">
        <f>42114*('2022 IR Data Book'!$A$5)</f>
        <v>11467.080542395033</v>
      </c>
      <c r="G42" s="28">
        <f>41398*('2022 IR Data Book'!$A$5)</f>
        <v>11272.123291401187</v>
      </c>
      <c r="H42" s="28">
        <f>37510.7120458181*('2022 IR Data Book'!$A$5)</f>
        <v>10213.666624684991</v>
      </c>
      <c r="I42" s="28">
        <f>31682.782300513*(('2022 IR Data Book'!$A$5))</f>
        <v>8626.7990798107603</v>
      </c>
      <c r="J42" s="28">
        <f>30828.0311206542*(('2022 IR Data Book'!$A$5))</f>
        <v>8394.061733010456</v>
      </c>
      <c r="L42" s="28"/>
    </row>
    <row r="43" spans="2:12" x14ac:dyDescent="0.2">
      <c r="B43" s="20" t="s">
        <v>104</v>
      </c>
      <c r="C43" s="28">
        <f>0*('2022 IR Data Book'!$A$5)</f>
        <v>0</v>
      </c>
      <c r="D43" s="28">
        <f>0*('2022 IR Data Book'!$A$5)</f>
        <v>0</v>
      </c>
      <c r="E43" s="28">
        <f>18964*('2022 IR Data Book'!$A$5)</f>
        <v>5163.6442847029348</v>
      </c>
      <c r="F43" s="28">
        <f>18305*('2022 IR Data Book'!$A$5)</f>
        <v>4984.2073735228441</v>
      </c>
      <c r="G43" s="28">
        <f>18047*('2022 IR Data Book'!$A$5)</f>
        <v>4913.9574143658438</v>
      </c>
      <c r="H43" s="28">
        <f>15709.402135929*('2022 IR Data Book'!$A$5)</f>
        <v>4277.4606915887925</v>
      </c>
      <c r="I43" s="28">
        <f>13870.2658370159*(('2022 IR Data Book'!$A$5))</f>
        <v>3776.6884052213418</v>
      </c>
      <c r="J43" s="28">
        <f>15960.5818464282*(('2022 IR Data Book'!$A$5))</f>
        <v>4345.8535768742031</v>
      </c>
      <c r="L43" s="28"/>
    </row>
    <row r="44" spans="2:12" ht="15.75" thickBot="1" x14ac:dyDescent="0.3">
      <c r="C44" s="43">
        <f t="shared" ref="C44:E44" si="6">SUM(C39:C43)</f>
        <v>281854.8167510755</v>
      </c>
      <c r="D44" s="43">
        <f t="shared" si="6"/>
        <v>293802.21096770681</v>
      </c>
      <c r="E44" s="43">
        <f t="shared" si="6"/>
        <v>301635.35370037582</v>
      </c>
      <c r="F44" s="43">
        <f>SUM(F39:F43)</f>
        <v>299905.51652780047</v>
      </c>
      <c r="G44" s="43">
        <f>SUM(G39:G43)</f>
        <v>296752.43696563743</v>
      </c>
      <c r="H44" s="43">
        <f>SUM(H39:H43)</f>
        <v>305684.37433747674</v>
      </c>
      <c r="I44" s="43">
        <f>SUM(I39:I43)</f>
        <v>295313.97125076427</v>
      </c>
      <c r="J44" s="43">
        <f>SUM(J39:J43)</f>
        <v>559348.93166594359</v>
      </c>
      <c r="L44" s="28"/>
    </row>
    <row r="45" spans="2:12" ht="15" x14ac:dyDescent="0.25">
      <c r="B45" s="21" t="s">
        <v>105</v>
      </c>
      <c r="C45" s="28"/>
      <c r="D45" s="28"/>
      <c r="E45" s="28"/>
      <c r="F45" s="28"/>
      <c r="G45" s="28"/>
      <c r="H45" s="28"/>
      <c r="I45" s="28"/>
      <c r="J45" s="28"/>
      <c r="L45" s="28"/>
    </row>
    <row r="46" spans="2:12" x14ac:dyDescent="0.2">
      <c r="B46" s="20" t="s">
        <v>106</v>
      </c>
      <c r="C46" s="28">
        <f>301582*('2022 IR Data Book'!$A$5)</f>
        <v>82116.75652126559</v>
      </c>
      <c r="D46" s="28">
        <f>318984*('2022 IR Data Book'!$A$5)</f>
        <v>86855.08903773893</v>
      </c>
      <c r="E46" s="28">
        <f>296363*('2022 IR Data Book'!$A$5)</f>
        <v>80695.692424985027</v>
      </c>
      <c r="F46" s="28">
        <f>344120*('2022 IR Data Book'!$A$5)</f>
        <v>93699.286608941882</v>
      </c>
      <c r="G46" s="28">
        <f>311248*('2022 IR Data Book'!$A$5)</f>
        <v>84748.679409682503</v>
      </c>
      <c r="H46" s="28">
        <f>270356.066055253*('2022 IR Data Book'!$A$5)</f>
        <v>73614.35115592576</v>
      </c>
      <c r="I46" s="28">
        <f>250079.639366778*(('2022 IR Data Book'!$A$5))</f>
        <v>68093.350587261884</v>
      </c>
      <c r="J46" s="28">
        <f>324776.31091803*(('2022 IR Data Book'!$A$5))</f>
        <v>88432.258050980221</v>
      </c>
      <c r="L46" s="28"/>
    </row>
    <row r="47" spans="2:12" x14ac:dyDescent="0.2">
      <c r="B47" s="20" t="s">
        <v>101</v>
      </c>
      <c r="C47" s="28">
        <f>171726*('2022 IR Data Book'!$A$5)</f>
        <v>46758.699558895605</v>
      </c>
      <c r="D47" s="28">
        <f>166802*('2022 IR Data Book'!$A$5)</f>
        <v>45417.960028317808</v>
      </c>
      <c r="E47" s="28">
        <f>179242*('2022 IR Data Book'!$A$5)</f>
        <v>48805.206121004194</v>
      </c>
      <c r="F47" s="28">
        <f>180382*('2022 IR Data Book'!$A$5)</f>
        <v>49115.612917279308</v>
      </c>
      <c r="G47" s="28">
        <f>185454*('2022 IR Data Book'!$A$5)</f>
        <v>50496.650874040184</v>
      </c>
      <c r="H47" s="28">
        <f>181930.801708948*('2022 IR Data Book'!$A$5)</f>
        <v>49537.330966875787</v>
      </c>
      <c r="I47" s="28">
        <f>178491.574249645*(('2022 IR Data Book'!$A$5))</f>
        <v>48600.875197311165</v>
      </c>
      <c r="J47" s="28">
        <f>181687.195623764*(('2022 IR Data Book'!$A$5))</f>
        <v>49471.000278757281</v>
      </c>
      <c r="K47" s="28"/>
      <c r="L47" s="28"/>
    </row>
    <row r="48" spans="2:12" x14ac:dyDescent="0.2">
      <c r="B48" s="20" t="s">
        <v>107</v>
      </c>
      <c r="C48" s="28">
        <f>145843*('2022 IR Data Book'!$A$5)</f>
        <v>39711.103850133419</v>
      </c>
      <c r="D48" s="28">
        <f>155122*('2022 IR Data Book'!$A$5)</f>
        <v>42237.651799814841</v>
      </c>
      <c r="E48" s="28">
        <f>170128*('2022 IR Data Book'!$A$5)</f>
        <v>46323.585470783641</v>
      </c>
      <c r="F48" s="28">
        <f>153113*('2022 IR Data Book'!$A$5)</f>
        <v>41690.627893045799</v>
      </c>
      <c r="G48" s="28">
        <f>156134*('2022 IR Data Book'!$A$5)</f>
        <v>42513.205903174858</v>
      </c>
      <c r="H48" s="28">
        <f>136850.951749966*('2022 IR Data Book'!$A$5)</f>
        <v>37262.689035006806</v>
      </c>
      <c r="I48" s="28">
        <f>157196.561404239*(('2022 IR Data Book'!$A$5))</f>
        <v>42802.527202591897</v>
      </c>
      <c r="J48" s="28">
        <f>131353.241586093*(('2022 IR Data Book'!$A$5))</f>
        <v>35765.735878149811</v>
      </c>
      <c r="L48" s="28"/>
    </row>
    <row r="49" spans="2:12" x14ac:dyDescent="0.2">
      <c r="B49" s="20" t="s">
        <v>108</v>
      </c>
      <c r="C49" s="28">
        <f>396594*('2022 IR Data Book'!$A$5)</f>
        <v>107987.2569841529</v>
      </c>
      <c r="D49" s="28">
        <f>396651*('2022 IR Data Book'!$A$5)</f>
        <v>108002.77732396667</v>
      </c>
      <c r="E49" s="28">
        <f>282409*('2022 IR Data Book'!$A$5)</f>
        <v>76896.204323912214</v>
      </c>
      <c r="F49" s="28">
        <f>27424*('2022 IR Data Book'!$A$5)</f>
        <v>7467.1894570603927</v>
      </c>
      <c r="G49" s="28">
        <f>29645*('2022 IR Data Book'!$A$5)</f>
        <v>8071.9381364700748</v>
      </c>
      <c r="H49" s="28">
        <f>30527.0124957848*('2022 IR Data Book'!$A$5)</f>
        <v>8312.0983760237432</v>
      </c>
      <c r="I49" s="28">
        <f>30784.9639042048*(('2022 IR Data Book'!$A$5))</f>
        <v>8382.3351043415569</v>
      </c>
      <c r="J49" s="28">
        <f>38865.3371067954*(('2022 IR Data Book'!$A$5))</f>
        <v>10582.512962695473</v>
      </c>
      <c r="L49" s="28"/>
    </row>
    <row r="50" spans="2:12" x14ac:dyDescent="0.2">
      <c r="B50" s="20" t="s">
        <v>109</v>
      </c>
      <c r="C50" s="28">
        <f>80696*('2022 IR Data Book'!$A$5)</f>
        <v>21972.444589663995</v>
      </c>
      <c r="D50" s="28">
        <f>85881*('2022 IR Data Book'!$A$5)</f>
        <v>23384.250939388989</v>
      </c>
      <c r="E50" s="28">
        <f>94008*('2022 IR Data Book'!$A$5)</f>
        <v>25597.124652834504</v>
      </c>
      <c r="F50" s="28">
        <f>62547*('2022 IR Data Book'!$A$5)</f>
        <v>17030.713935631433</v>
      </c>
      <c r="G50" s="28">
        <f>63713*('2022 IR Data Book'!$A$5)</f>
        <v>17348.200185154928</v>
      </c>
      <c r="H50" s="28">
        <f>61136.7566261348*('2022 IR Data Book'!$A$5)</f>
        <v>16646.723472780806</v>
      </c>
      <c r="I50" s="28">
        <f>52704.6012868802*(('2022 IR Data Book'!$A$5))</f>
        <v>14350.760030191199</v>
      </c>
      <c r="J50" s="28">
        <f>46038.4362802212*(('2022 IR Data Book'!$A$5))</f>
        <v>12535.652202859335</v>
      </c>
      <c r="L50" s="28"/>
    </row>
    <row r="51" spans="2:12" x14ac:dyDescent="0.2">
      <c r="B51" s="20" t="s">
        <v>110</v>
      </c>
      <c r="C51" s="28">
        <f>913390*('2022 IR Data Book'!$A$5)</f>
        <v>248703.91548221966</v>
      </c>
      <c r="D51" s="28">
        <f>947539*('2022 IR Data Book'!$A$5)</f>
        <v>258002.23275063987</v>
      </c>
      <c r="E51" s="28">
        <f>917790*('2022 IR Data Book'!$A$5)</f>
        <v>249901.97680117626</v>
      </c>
      <c r="F51" s="28">
        <f>850431*('2022 IR Data Book'!$A$5)</f>
        <v>231561.01944126777</v>
      </c>
      <c r="G51" s="28">
        <f>801300*('2022 IR Data Book'!$A$5)</f>
        <v>218183.30338180036</v>
      </c>
      <c r="H51" s="28">
        <f>809013.043521554*('2022 IR Data Book'!$A$5)</f>
        <v>220283.46226693731</v>
      </c>
      <c r="I51" s="28">
        <f>732255.651046816*(('2022 IR Data Book'!$A$5))</f>
        <v>199383.44797876599</v>
      </c>
      <c r="J51" s="28">
        <f>792225.528117139*(('2022 IR Data Book'!$A$5))</f>
        <v>215712.44571070603</v>
      </c>
      <c r="L51" s="28"/>
    </row>
    <row r="52" spans="2:12" ht="15.75" thickBot="1" x14ac:dyDescent="0.3">
      <c r="C52" s="43">
        <f t="shared" ref="C52:E52" si="7">SUM(C46:C51)</f>
        <v>547250.17698633112</v>
      </c>
      <c r="D52" s="43">
        <f t="shared" si="7"/>
        <v>563899.96187986713</v>
      </c>
      <c r="E52" s="43">
        <f t="shared" si="7"/>
        <v>528219.7897946958</v>
      </c>
      <c r="F52" s="43">
        <f>SUM(F46:F51)</f>
        <v>440564.45025322656</v>
      </c>
      <c r="G52" s="43">
        <f>SUM(G46:G51)</f>
        <v>421361.97789032292</v>
      </c>
      <c r="H52" s="43">
        <f>SUM(H46:H51)</f>
        <v>405656.65527355019</v>
      </c>
      <c r="I52" s="43">
        <f>SUM(I46:I51)</f>
        <v>381613.29610046372</v>
      </c>
      <c r="J52" s="43">
        <f>SUM(J46:J51)</f>
        <v>412499.60508414812</v>
      </c>
      <c r="L52" s="28"/>
    </row>
    <row r="53" spans="2:12" x14ac:dyDescent="0.2">
      <c r="B53" s="20" t="s">
        <v>111</v>
      </c>
      <c r="C53" s="28">
        <f>93522*('2022 IR Data Book'!$A$5)</f>
        <v>25464.79333442248</v>
      </c>
      <c r="D53" s="28">
        <f>91542*('2022 IR Data Book'!$A$5)</f>
        <v>24925.665740892011</v>
      </c>
      <c r="E53" s="28">
        <f>4859*('2022 IR Data Book'!$A$5)</f>
        <v>1323.0408974568425</v>
      </c>
      <c r="F53" s="28">
        <f>4505*('2022 IR Data Book'!$A$5)</f>
        <v>1226.6514186135162</v>
      </c>
      <c r="G53" s="28">
        <f>2099*('2022 IR Data Book'!$A$5)</f>
        <v>571.52970647497682</v>
      </c>
      <c r="H53" s="28">
        <f>1760.28422364487*('2022 IR Data Book'!$A$5)</f>
        <v>479.30191789055982</v>
      </c>
      <c r="I53" s="28">
        <f>5838.24756504022*(('2022 IR Data Book'!$A$5))</f>
        <v>1589.6769495834612</v>
      </c>
      <c r="J53" s="28">
        <f>4906.82920986739*(('2022 IR Data Book'!$A$5))</f>
        <v>1336.0641534246556</v>
      </c>
      <c r="L53" s="28"/>
    </row>
    <row r="54" spans="2:12" ht="15" x14ac:dyDescent="0.25">
      <c r="B54" s="21" t="s">
        <v>112</v>
      </c>
      <c r="C54" s="45">
        <f t="shared" ref="C54:E54" si="8">C52+C53+C44</f>
        <v>854569.7870718292</v>
      </c>
      <c r="D54" s="45">
        <f t="shared" si="8"/>
        <v>882627.83858846594</v>
      </c>
      <c r="E54" s="45">
        <f t="shared" si="8"/>
        <v>831178.18439252838</v>
      </c>
      <c r="F54" s="45">
        <f>F52+F53+F44</f>
        <v>741696.61819964054</v>
      </c>
      <c r="G54" s="45">
        <f>G52+G53+G44</f>
        <v>718685.94456243538</v>
      </c>
      <c r="H54" s="45">
        <f>H52+H53+H44</f>
        <v>711820.33152891742</v>
      </c>
      <c r="I54" s="45">
        <f>I52+I53+I44</f>
        <v>678516.9443008115</v>
      </c>
      <c r="J54" s="45">
        <f>J52+J53+J44</f>
        <v>973184.6009035164</v>
      </c>
      <c r="L54" s="28"/>
    </row>
    <row r="55" spans="2:12" ht="15.75" thickBot="1" x14ac:dyDescent="0.3">
      <c r="B55" s="21" t="s">
        <v>113</v>
      </c>
      <c r="C55" s="44">
        <f t="shared" ref="C55:E55" si="9">C54+C35</f>
        <v>1602831.7812993517</v>
      </c>
      <c r="D55" s="44">
        <f t="shared" si="9"/>
        <v>1600955.9984751947</v>
      </c>
      <c r="E55" s="44">
        <f t="shared" si="9"/>
        <v>1589073.1361977891</v>
      </c>
      <c r="F55" s="44">
        <f>F54+F35</f>
        <v>1470333.8234493274</v>
      </c>
      <c r="G55" s="44">
        <f>G54+G35</f>
        <v>1450469.6944943636</v>
      </c>
      <c r="H55" s="44">
        <f>H54+H35</f>
        <v>1401851.0140629895</v>
      </c>
      <c r="I55" s="44">
        <f>I54+I35</f>
        <v>1374356.2581388853</v>
      </c>
      <c r="J55" s="44">
        <f>J54+J35</f>
        <v>1658908.3152225981</v>
      </c>
      <c r="L55" s="28"/>
    </row>
    <row r="56" spans="2:12" ht="13.5" thickTop="1" x14ac:dyDescent="0.2">
      <c r="C56" s="28">
        <f t="shared" ref="C56:E56" si="10">C55-C23</f>
        <v>0</v>
      </c>
      <c r="D56" s="28">
        <f t="shared" si="10"/>
        <v>0</v>
      </c>
      <c r="E56" s="28">
        <f t="shared" si="10"/>
        <v>0</v>
      </c>
      <c r="F56" s="28">
        <f>F55-F23</f>
        <v>-7.4377719545736909E-2</v>
      </c>
      <c r="G56" s="28">
        <f>G55-G23</f>
        <v>0</v>
      </c>
      <c r="H56" s="28">
        <f>H55-H23</f>
        <v>-0.10168382129631937</v>
      </c>
      <c r="I56" s="28">
        <f>I55-I23</f>
        <v>3.5768700763583183E-4</v>
      </c>
      <c r="J56" s="28">
        <f>J55-J23</f>
        <v>1.6975582111626863E-3</v>
      </c>
    </row>
    <row r="57" spans="2:12" x14ac:dyDescent="0.2">
      <c r="C57" s="28"/>
      <c r="D57" s="28"/>
      <c r="E57" s="28"/>
      <c r="F57" s="28"/>
      <c r="G57" s="28"/>
      <c r="H57" s="28"/>
      <c r="I57" s="28"/>
      <c r="J57" s="28"/>
    </row>
    <row r="59" spans="2:12" x14ac:dyDescent="0.2">
      <c r="H59" s="225"/>
    </row>
    <row r="60" spans="2:12" x14ac:dyDescent="0.2">
      <c r="C60" s="28"/>
      <c r="H60" s="28"/>
    </row>
  </sheetData>
  <pageMargins left="0.7" right="0.7" top="0.75" bottom="0.75" header="0.3" footer="0.3"/>
  <pageSetup orientation="portrait" horizontalDpi="1200" verticalDpi="1200" r:id="rId1"/>
  <ignoredErrors>
    <ignoredError sqref="G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CDC0-9463-4CAE-9B07-BEAFA8E7E04A}">
  <dimension ref="A1:L79"/>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ColWidth="9.140625" defaultRowHeight="12.75" x14ac:dyDescent="0.2"/>
  <cols>
    <col min="1" max="1" width="4.42578125" style="20" customWidth="1"/>
    <col min="2" max="2" width="55.42578125" style="20" bestFit="1" customWidth="1"/>
    <col min="3" max="3" width="10.42578125" style="20" bestFit="1" customWidth="1"/>
    <col min="4" max="5" width="9.28515625" style="20" bestFit="1" customWidth="1"/>
    <col min="6" max="6" width="12" style="20" customWidth="1"/>
    <col min="7" max="7" width="9.140625" style="20" customWidth="1"/>
    <col min="8" max="8" width="19.85546875" style="20" bestFit="1" customWidth="1"/>
    <col min="9" max="9" width="9.42578125" style="20" bestFit="1" customWidth="1"/>
    <col min="10" max="10" width="10" style="20" bestFit="1" customWidth="1"/>
    <col min="11" max="11" width="13.140625" style="20" bestFit="1" customWidth="1"/>
    <col min="12" max="12" width="9.42578125" style="20" bestFit="1" customWidth="1"/>
    <col min="13" max="13" width="36" style="20" customWidth="1"/>
    <col min="14" max="16384" width="9.140625" style="20"/>
  </cols>
  <sheetData>
    <row r="1" spans="1:10" x14ac:dyDescent="0.2">
      <c r="A1" s="177">
        <f>'2022 IR Data Book'!$A$5</f>
        <v>0.27228666339922669</v>
      </c>
    </row>
    <row r="2" spans="1:10" x14ac:dyDescent="0.2">
      <c r="C2" s="136" t="s">
        <v>22</v>
      </c>
      <c r="D2" s="134" t="s">
        <v>23</v>
      </c>
      <c r="E2" s="136" t="s">
        <v>24</v>
      </c>
      <c r="F2" s="136" t="s">
        <v>25</v>
      </c>
      <c r="G2" s="136" t="s">
        <v>27</v>
      </c>
      <c r="H2" s="134" t="s">
        <v>28</v>
      </c>
      <c r="I2" s="134" t="s">
        <v>275</v>
      </c>
      <c r="J2" s="134" t="s">
        <v>303</v>
      </c>
    </row>
    <row r="3" spans="1:10" x14ac:dyDescent="0.2">
      <c r="B3" s="46" t="s">
        <v>114</v>
      </c>
      <c r="C3" s="63">
        <f>69097*('2022 IR Data Book'!$A$5)</f>
        <v>18814.191580896368</v>
      </c>
      <c r="D3" s="63">
        <f>159318*('2022 IR Data Book'!$A$5)</f>
        <v>43380.166639438001</v>
      </c>
      <c r="E3" s="63">
        <f>215127*('2022 IR Data Book'!$A$5)</f>
        <v>58576.213037085443</v>
      </c>
      <c r="F3" s="63">
        <f>262224*('2022 IR Data Book'!$A$5)</f>
        <v>71400.098023198821</v>
      </c>
      <c r="G3" s="63">
        <f>66712.9745935493*('2022 IR Data Book'!$A$5)</f>
        <v>18165.053257514919</v>
      </c>
      <c r="H3" s="63">
        <f>120074*('2022 IR Data Book'!$A$5)</f>
        <v>32694.548820998745</v>
      </c>
      <c r="I3" s="63">
        <f>156381.225085283*(('2022 IR Data Book'!$A$5))</f>
        <v>42580.521996755153</v>
      </c>
      <c r="J3" s="63">
        <f>186694.205476693*(('2022 IR Data Book'!$A$5))</f>
        <v>50834.342285218372</v>
      </c>
    </row>
    <row r="4" spans="1:10" x14ac:dyDescent="0.2">
      <c r="B4" s="47" t="s">
        <v>115</v>
      </c>
      <c r="C4" s="63">
        <f>6880*('2022 IR Data Book'!$A$5)</f>
        <v>1873.3322441866796</v>
      </c>
      <c r="D4" s="63">
        <f>13094*('2022 IR Data Book'!$A$5)</f>
        <v>3565.3215705494745</v>
      </c>
      <c r="E4" s="63">
        <f>50222*('2022 IR Data Book'!$A$5)</f>
        <v>13674.780809235963</v>
      </c>
      <c r="F4" s="63">
        <f>49544*('2022 IR Data Book'!$A$5)</f>
        <v>13490.170451451288</v>
      </c>
      <c r="G4" s="63">
        <f>832*('2022 IR Data Book'!$A$5)</f>
        <v>226.54250394815659</v>
      </c>
      <c r="H4" s="63">
        <f>835*('2022 IR Data Book'!$A$5)</f>
        <v>227.35936393835428</v>
      </c>
      <c r="I4" s="63">
        <f>3625.53123332726*(('2022 IR Data Book'!$A$5))</f>
        <v>987.18380257236288</v>
      </c>
      <c r="J4" s="63">
        <f>4466.90315531137*(('2022 IR Data Book'!$A$5))</f>
        <v>1216.2781558872107</v>
      </c>
    </row>
    <row r="5" spans="1:10" ht="15" x14ac:dyDescent="0.2">
      <c r="B5" s="48" t="s">
        <v>116</v>
      </c>
      <c r="C5" s="64">
        <f t="shared" ref="C5:H5" si="0">SUM(C3:C4)</f>
        <v>20687.523825083048</v>
      </c>
      <c r="D5" s="64">
        <f t="shared" si="0"/>
        <v>46945.488209987474</v>
      </c>
      <c r="E5" s="64">
        <f t="shared" si="0"/>
        <v>72250.993846321406</v>
      </c>
      <c r="F5" s="64">
        <f t="shared" si="0"/>
        <v>84890.268474650104</v>
      </c>
      <c r="G5" s="64">
        <f t="shared" si="0"/>
        <v>18391.595761463075</v>
      </c>
      <c r="H5" s="64">
        <f t="shared" si="0"/>
        <v>32921.9081849371</v>
      </c>
      <c r="I5" s="64">
        <f t="shared" ref="I5:J5" si="1">SUM(I3:I4)</f>
        <v>43567.705799327516</v>
      </c>
      <c r="J5" s="64">
        <f t="shared" si="1"/>
        <v>52050.620441105581</v>
      </c>
    </row>
    <row r="6" spans="1:10" x14ac:dyDescent="0.2">
      <c r="B6" s="49" t="s">
        <v>117</v>
      </c>
      <c r="C6" s="65"/>
      <c r="D6" s="65"/>
      <c r="E6" s="65"/>
      <c r="F6" s="65"/>
      <c r="G6" s="65"/>
      <c r="H6" s="65"/>
      <c r="I6" s="65"/>
      <c r="J6" s="65"/>
    </row>
    <row r="7" spans="1:10" x14ac:dyDescent="0.2">
      <c r="C7" s="65"/>
      <c r="D7" s="65"/>
      <c r="E7" s="65"/>
      <c r="F7" s="65"/>
      <c r="G7" s="65"/>
      <c r="H7" s="65"/>
      <c r="I7" s="65"/>
      <c r="J7" s="65"/>
    </row>
    <row r="8" spans="1:10" x14ac:dyDescent="0.2">
      <c r="B8" s="49" t="s">
        <v>118</v>
      </c>
      <c r="C8" s="63"/>
      <c r="D8" s="63"/>
      <c r="E8" s="63"/>
      <c r="F8" s="63"/>
      <c r="G8" s="63"/>
      <c r="H8" s="63"/>
      <c r="I8" s="63"/>
      <c r="J8" s="63"/>
    </row>
    <row r="9" spans="1:10" x14ac:dyDescent="0.2">
      <c r="B9" s="50" t="s">
        <v>119</v>
      </c>
      <c r="C9" s="63">
        <f>30571*('2022 IR Data Book'!$A$5)</f>
        <v>8324.0755867777589</v>
      </c>
      <c r="D9" s="63">
        <f>61677*('2022 IR Data Book'!$A$5)</f>
        <v>16793.824538474106</v>
      </c>
      <c r="E9" s="63">
        <f>85002*('2022 IR Data Book'!$A$5)</f>
        <v>23144.910962261067</v>
      </c>
      <c r="F9" s="63">
        <f>111307*('2022 IR Data Book'!$A$5)</f>
        <v>30307.411642977724</v>
      </c>
      <c r="G9" s="63">
        <f>27620*('2022 IR Data Book'!$A$5)</f>
        <v>7520.5576430866413</v>
      </c>
      <c r="H9" s="63">
        <f>55985*('2022 IR Data Book'!$A$5)</f>
        <v>15243.968850405707</v>
      </c>
      <c r="I9" s="63">
        <f>84910.4747890224*(('2022 IR Data Book'!$A$5))</f>
        <v>23119.989867947064</v>
      </c>
      <c r="J9" s="63">
        <f>116718.385997847*(('2022 IR Data Book'!$A$5))</f>
        <v>31780.859880696778</v>
      </c>
    </row>
    <row r="10" spans="1:10" x14ac:dyDescent="0.2">
      <c r="B10" s="50" t="s">
        <v>120</v>
      </c>
      <c r="C10" s="63">
        <f>64487*('2022 IR Data Book'!$A$5)</f>
        <v>17558.950062625932</v>
      </c>
      <c r="D10" s="63">
        <f>131046*('2022 IR Data Book'!$A$5)</f>
        <v>35682.078091815063</v>
      </c>
      <c r="E10" s="63">
        <f>191720*('2022 IR Data Book'!$A$5)</f>
        <v>52202.799106899743</v>
      </c>
      <c r="F10" s="63">
        <f>254551*('2022 IR Data Book'!$A$5)</f>
        <v>69310.842454936559</v>
      </c>
      <c r="G10" s="63">
        <f>66011*('2022 IR Data Book'!$A$5)</f>
        <v>17973.914937646354</v>
      </c>
      <c r="H10" s="63">
        <f>129606*('2022 IR Data Book'!$A$5)</f>
        <v>35289.985296520172</v>
      </c>
      <c r="I10" s="63">
        <f>190683.705115401*(('2022 IR Data Book'!$A$5))</f>
        <v>51920.629830474594</v>
      </c>
      <c r="J10" s="63">
        <f>248907.680572888*(('2022 IR Data Book'!$A$5))</f>
        <v>67774.241837632188</v>
      </c>
    </row>
    <row r="11" spans="1:10" x14ac:dyDescent="0.2">
      <c r="B11" s="50" t="s">
        <v>121</v>
      </c>
      <c r="C11" s="63">
        <f>2222*('2022 IR Data Book'!$A$5)</f>
        <v>605.02096607308169</v>
      </c>
      <c r="D11" s="63">
        <f>4442*('2022 IR Data Book'!$A$5)</f>
        <v>1209.497358819365</v>
      </c>
      <c r="E11" s="63">
        <f>4371*('2022 IR Data Book'!$A$5)</f>
        <v>1190.1650057180198</v>
      </c>
      <c r="F11" s="63">
        <f>5064*('2022 IR Data Book'!$A$5)</f>
        <v>1378.8596634536839</v>
      </c>
      <c r="G11" s="63">
        <f>692*('2022 IR Data Book'!$A$5)</f>
        <v>188.42237107226487</v>
      </c>
      <c r="H11" s="63">
        <f>1383*('2022 IR Data Book'!$A$5)</f>
        <v>376.57245548113053</v>
      </c>
      <c r="I11" s="63">
        <f>2071.70134298803*(('2022 IR Data Book'!$A$5))</f>
        <v>564.09664624190759</v>
      </c>
      <c r="J11" s="63">
        <f>5008.2679770988*(('2022 IR Data Book'!$A$5))</f>
        <v>1363.6845768934268</v>
      </c>
    </row>
    <row r="12" spans="1:10" x14ac:dyDescent="0.2">
      <c r="B12" s="50" t="s">
        <v>122</v>
      </c>
      <c r="C12" s="63">
        <f>8206*('2022 IR Data Book'!$A$5)</f>
        <v>2234.3843598540543</v>
      </c>
      <c r="D12" s="63">
        <f>22690*('2022 IR Data Book'!$A$5)</f>
        <v>6178.1843925284538</v>
      </c>
      <c r="E12" s="63">
        <f>26981*('2022 IR Data Book'!$A$5)</f>
        <v>7346.5664651745356</v>
      </c>
      <c r="F12" s="63">
        <f>33813*('2022 IR Data Book'!$A$5)</f>
        <v>9206.8289495180525</v>
      </c>
      <c r="G12" s="63">
        <f>6035*('2022 IR Data Book'!$A$5)</f>
        <v>1643.2500136143331</v>
      </c>
      <c r="H12" s="63">
        <f>17071*('2022 IR Data Book'!$A$5)</f>
        <v>4648.2056308881993</v>
      </c>
      <c r="I12" s="63">
        <f>25399.0220645702*(('2022 IR Data Book'!$A$5))</f>
        <v>6915.814971565158</v>
      </c>
      <c r="J12" s="63">
        <f>35066.073473054*(('2022 IR Data Book'!$A$5))</f>
        <v>9548.0241444900057</v>
      </c>
    </row>
    <row r="13" spans="1:10" x14ac:dyDescent="0.2">
      <c r="B13" s="50" t="s">
        <v>123</v>
      </c>
      <c r="C13" s="63">
        <f>3787*('2022 IR Data Book'!$A$5)</f>
        <v>1031.1495942928714</v>
      </c>
      <c r="D13" s="63">
        <f>13626*('2022 IR Data Book'!$A$5)</f>
        <v>3710.1780754778629</v>
      </c>
      <c r="E13" s="63">
        <f>17804*('2022 IR Data Book'!$A$5)</f>
        <v>4847.7917551598321</v>
      </c>
      <c r="F13" s="63">
        <f>15760*('2022 IR Data Book'!$A$5)</f>
        <v>4291.2378151718131</v>
      </c>
      <c r="G13" s="63">
        <f>4942*('2022 IR Data Book'!$A$5)</f>
        <v>1345.6406905189783</v>
      </c>
      <c r="H13" s="63">
        <f>9760*('2022 IR Data Book'!$A$5)</f>
        <v>2657.5178347764527</v>
      </c>
      <c r="I13" s="63">
        <f>13128.1258975919*(('2022 IR Data Book'!$A$5))</f>
        <v>3574.6135973402766</v>
      </c>
      <c r="J13" s="63">
        <f>15493.0549690409*(('2022 IR Data Book'!$A$5))</f>
        <v>4218.5522433809565</v>
      </c>
    </row>
    <row r="14" spans="1:10" x14ac:dyDescent="0.2">
      <c r="B14" s="50" t="s">
        <v>124</v>
      </c>
      <c r="C14" s="63">
        <f>1295*('2022 IR Data Book'!$A$5)</f>
        <v>352.61122910199856</v>
      </c>
      <c r="D14" s="63">
        <f>3502*('2022 IR Data Book'!$A$5)</f>
        <v>953.54789522409192</v>
      </c>
      <c r="E14" s="63">
        <f>(10624-5047)*('2022 IR Data Book'!$A$5)</f>
        <v>1518.5427217774873</v>
      </c>
      <c r="F14" s="63">
        <f>6906*('2022 IR Data Book'!$A$5)</f>
        <v>1880.4116974350595</v>
      </c>
      <c r="G14" s="63">
        <f>1523*('2022 IR Data Book'!$A$5)</f>
        <v>414.69258835702226</v>
      </c>
      <c r="H14" s="63">
        <f>3532*('2022 IR Data Book'!$A$5)</f>
        <v>961.71649512606871</v>
      </c>
      <c r="I14" s="63">
        <f>7151.95334604811*(('2022 IR Data Book'!$A$5))</f>
        <v>1947.3815133823748</v>
      </c>
      <c r="J14" s="63">
        <f>21497.4551751129*(('2022 IR Data Book'!$A$5))</f>
        <v>5853.4703412059298</v>
      </c>
    </row>
    <row r="15" spans="1:10" x14ac:dyDescent="0.2">
      <c r="B15" s="50" t="s">
        <v>125</v>
      </c>
      <c r="C15" s="63">
        <f>12450*('2022 IR Data Book'!$A$5)</f>
        <v>3389.9689593203725</v>
      </c>
      <c r="D15" s="63">
        <f>24823*('2022 IR Data Book'!$A$5)</f>
        <v>6758.9718455590046</v>
      </c>
      <c r="E15" s="63">
        <f>35784*('2022 IR Data Book'!$A$5)</f>
        <v>9743.5059630779288</v>
      </c>
      <c r="F15" s="63">
        <f>47106*('2022 IR Data Book'!$A$5)</f>
        <v>12826.335566083973</v>
      </c>
      <c r="G15" s="63">
        <f>10353*('2022 IR Data Book'!$A$5)</f>
        <v>2818.9838261721939</v>
      </c>
      <c r="H15" s="63">
        <f>22724*('2022 IR Data Book'!$A$5)</f>
        <v>6187.4421390840271</v>
      </c>
      <c r="I15" s="63">
        <f>34714.0856193912*(('2022 IR Data Book'!$A$5))</f>
        <v>9452.1825462591059</v>
      </c>
      <c r="J15" s="63">
        <f>46504.5748904509*(('2022 IR Data Book'!$A$5))</f>
        <v>12662.575529720334</v>
      </c>
    </row>
    <row r="16" spans="1:10" x14ac:dyDescent="0.2">
      <c r="B16" s="50" t="s">
        <v>126</v>
      </c>
      <c r="C16" s="63">
        <f>-2685*('2022 IR Data Book'!$A$5)</f>
        <v>-731.08969122692372</v>
      </c>
      <c r="D16" s="63">
        <f>-7293*('2022 IR Data Book'!$A$5)</f>
        <v>-1985.7866361705603</v>
      </c>
      <c r="E16" s="63">
        <f>-9205*('2022 IR Data Book'!$A$5)</f>
        <v>-2506.3987365898815</v>
      </c>
      <c r="F16" s="63">
        <f>-10232*('2022 IR Data Book'!$A$5)</f>
        <v>-2786.0371399008877</v>
      </c>
      <c r="G16" s="63">
        <f>-3556*('2022 IR Data Book'!$A$5)</f>
        <v>-968.25137504765007</v>
      </c>
      <c r="H16" s="63">
        <f>-7720*('2022 IR Data Book'!$A$5)</f>
        <v>-2102.05304144203</v>
      </c>
      <c r="I16" s="63">
        <f>-8664.694177561*(('2022 IR Data Book'!$A$5))</f>
        <v>-2359.280666982791</v>
      </c>
      <c r="J16" s="63">
        <f>-9203.47263576387*(('2022 IR Data Book'!$A$5))</f>
        <v>-2505.9828556782304</v>
      </c>
    </row>
    <row r="17" spans="2:10" x14ac:dyDescent="0.2">
      <c r="B17" s="50" t="s">
        <v>127</v>
      </c>
      <c r="C17" s="63">
        <f>0*('2022 IR Data Book'!$A$5)</f>
        <v>0</v>
      </c>
      <c r="D17" s="63">
        <f>0*('2022 IR Data Book'!$A$5)</f>
        <v>0</v>
      </c>
      <c r="E17" s="63">
        <f>0*('2022 IR Data Book'!$A$5)</f>
        <v>0</v>
      </c>
      <c r="F17" s="63">
        <f>2975*('2022 IR Data Book'!$A$5)</f>
        <v>810.0528236126994</v>
      </c>
      <c r="G17" s="63">
        <f>0*('2022 IR Data Book'!$A$5)</f>
        <v>0</v>
      </c>
      <c r="H17" s="63">
        <f>0*('2022 IR Data Book'!$A$5)</f>
        <v>0</v>
      </c>
      <c r="I17" s="63">
        <f>0*(('2022 IR Data Book'!$A$5))</f>
        <v>0</v>
      </c>
      <c r="J17" s="63">
        <f>0*(('2022 IR Data Book'!$A$5))</f>
        <v>0</v>
      </c>
    </row>
    <row r="18" spans="2:10" x14ac:dyDescent="0.2">
      <c r="B18" s="50" t="s">
        <v>128</v>
      </c>
      <c r="C18" s="63">
        <f>-1616*('2022 IR Data Book'!$A$5)</f>
        <v>-440.01524805315034</v>
      </c>
      <c r="D18" s="63">
        <f>-1824*('2022 IR Data Book'!$A$5)</f>
        <v>-496.65087404018948</v>
      </c>
      <c r="E18" s="63">
        <f>-1618*('2022 IR Data Book'!$A$5)</f>
        <v>-440.5598213799488</v>
      </c>
      <c r="F18" s="63">
        <f>-413*('2022 IR Data Book'!$A$5)</f>
        <v>-112.45439198388063</v>
      </c>
      <c r="G18" s="63">
        <f>4901*('2022 IR Data Book'!$A$5)</f>
        <v>1334.47693731961</v>
      </c>
      <c r="H18" s="63">
        <f>10897*('2022 IR Data Book'!$A$5)</f>
        <v>2967.1077710613731</v>
      </c>
      <c r="I18" s="63">
        <f>10570.1545938648*(('2022 IR Data Book'!$A$5))</f>
        <v>2878.1121259774545</v>
      </c>
      <c r="J18" s="63">
        <f>12143.5755278846*(('2022 IR Data Book'!$A$5))</f>
        <v>3306.5336622242007</v>
      </c>
    </row>
    <row r="19" spans="2:10" x14ac:dyDescent="0.2">
      <c r="B19" s="50" t="s">
        <v>129</v>
      </c>
      <c r="C19" s="63">
        <f>0*('2022 IR Data Book'!$A$5)</f>
        <v>0</v>
      </c>
      <c r="D19" s="63">
        <f>0*('2022 IR Data Book'!$A$5)</f>
        <v>0</v>
      </c>
      <c r="E19" s="63">
        <f>-31608*('2022 IR Data Book'!$A$5)</f>
        <v>-8606.4368567227575</v>
      </c>
      <c r="F19" s="63">
        <f>-31608*('2022 IR Data Book'!$A$5)</f>
        <v>-8606.4368567227575</v>
      </c>
      <c r="G19" s="63">
        <f>-800*('2022 IR Data Book'!$A$5)</f>
        <v>-217.82933071938135</v>
      </c>
      <c r="H19" s="63">
        <f>-800*('2022 IR Data Book'!$A$5)</f>
        <v>-217.82933071938135</v>
      </c>
      <c r="I19" s="63">
        <f>-2320.954659*(('2022 IR Data Book'!$A$5))</f>
        <v>-631.96499999999992</v>
      </c>
      <c r="J19" s="63">
        <f>-3514.549659*(('2022 IR Data Book'!$A$5))</f>
        <v>-956.96499999999992</v>
      </c>
    </row>
    <row r="20" spans="2:10" x14ac:dyDescent="0.2">
      <c r="B20" s="50" t="s">
        <v>130</v>
      </c>
      <c r="C20" s="220">
        <f>0*('2022 IR Data Book'!$A$5)</f>
        <v>0</v>
      </c>
      <c r="D20" s="220">
        <f>0*('2022 IR Data Book'!$A$5)</f>
        <v>0</v>
      </c>
      <c r="E20" s="220">
        <f>0*('2022 IR Data Book'!$A$5)</f>
        <v>0</v>
      </c>
      <c r="F20" s="220">
        <f>-20812*('2022 IR Data Book'!$A$5)</f>
        <v>-5666.8300386647061</v>
      </c>
      <c r="G20" s="220">
        <f>0*('2022 IR Data Book'!$A$5)</f>
        <v>0</v>
      </c>
      <c r="H20" s="220">
        <f>0*('2022 IR Data Book'!$A$5)</f>
        <v>0</v>
      </c>
      <c r="I20" s="220">
        <f>-648*(('2022 IR Data Book'!$A$5))</f>
        <v>-176.44175788269891</v>
      </c>
      <c r="J20" s="220">
        <f>-1290.9115548*(('2022 IR Data Book'!$A$5))</f>
        <v>-351.49799999999999</v>
      </c>
    </row>
    <row r="21" spans="2:10" ht="15" x14ac:dyDescent="0.2">
      <c r="B21" s="50"/>
      <c r="C21" s="64">
        <f t="shared" ref="C21:H21" si="2">SUM(C5:C20)</f>
        <v>53012.579643849051</v>
      </c>
      <c r="D21" s="64">
        <f t="shared" si="2"/>
        <v>115749.33289767466</v>
      </c>
      <c r="E21" s="64">
        <f t="shared" si="2"/>
        <v>160691.88041169744</v>
      </c>
      <c r="F21" s="64">
        <f t="shared" si="2"/>
        <v>197730.49066056736</v>
      </c>
      <c r="G21" s="64">
        <f t="shared" si="2"/>
        <v>50445.454063483448</v>
      </c>
      <c r="H21" s="64">
        <f t="shared" si="2"/>
        <v>98934.542286118813</v>
      </c>
      <c r="I21" s="64">
        <f t="shared" ref="I21:J21" si="3">SUM(I5:I20)</f>
        <v>140772.83947364995</v>
      </c>
      <c r="J21" s="64">
        <f t="shared" si="3"/>
        <v>184744.11680167116</v>
      </c>
    </row>
    <row r="22" spans="2:10" x14ac:dyDescent="0.2">
      <c r="C22" s="65"/>
      <c r="D22" s="65"/>
      <c r="E22" s="65"/>
      <c r="F22" s="65"/>
      <c r="G22" s="65"/>
      <c r="H22" s="65"/>
      <c r="I22" s="65"/>
      <c r="J22" s="65"/>
    </row>
    <row r="23" spans="2:10" x14ac:dyDescent="0.2">
      <c r="B23" s="49" t="s">
        <v>131</v>
      </c>
      <c r="C23" s="63"/>
      <c r="D23" s="63"/>
      <c r="E23" s="63"/>
      <c r="F23" s="63"/>
      <c r="G23" s="63"/>
      <c r="H23" s="63"/>
      <c r="I23" s="63"/>
      <c r="J23" s="63"/>
    </row>
    <row r="24" spans="2:10" x14ac:dyDescent="0.2">
      <c r="B24" s="50" t="s">
        <v>132</v>
      </c>
      <c r="C24" s="63">
        <f>16527*('2022 IR Data Book'!$A$5)</f>
        <v>4500.0816859990191</v>
      </c>
      <c r="D24" s="63">
        <f>-60869*('2022 IR Data Book'!$A$5)</f>
        <v>-16573.816914447529</v>
      </c>
      <c r="E24" s="63">
        <f>-31519*('2022 IR Data Book'!$A$5)</f>
        <v>-8582.2033436802267</v>
      </c>
      <c r="F24" s="63">
        <f>-174292*('2022 IR Data Book'!$A$5)</f>
        <v>-47457.387137178019</v>
      </c>
      <c r="G24" s="63">
        <f>50503*('2022 IR Data Book'!$A$5)</f>
        <v>13751.293361651145</v>
      </c>
      <c r="H24" s="63">
        <f>65762*('2022 IR Data Book'!$A$5)</f>
        <v>17906.115558459947</v>
      </c>
      <c r="I24" s="63">
        <f>111542.267356377*(('2022 IR Data Book'!$A$5))</f>
        <v>30371.471806452373</v>
      </c>
      <c r="J24" s="63">
        <f>80056.9094076042*(('2022 IR Data Book'!$A$5))</f>
        <v>21798.428744650708</v>
      </c>
    </row>
    <row r="25" spans="2:10" x14ac:dyDescent="0.2">
      <c r="B25" s="50" t="s">
        <v>133</v>
      </c>
      <c r="C25" s="63">
        <f>-24343*('2022 IR Data Book'!$A$5)</f>
        <v>-6628.274247127375</v>
      </c>
      <c r="D25" s="63">
        <f>-5662*('2022 IR Data Book'!$A$5)</f>
        <v>-1541.6870881664215</v>
      </c>
      <c r="E25" s="63">
        <f>-31622*('2022 IR Data Book'!$A$5)</f>
        <v>-8610.2488700103459</v>
      </c>
      <c r="F25" s="63">
        <f>16676*('2022 IR Data Book'!$A$5)</f>
        <v>4540.6523988455046</v>
      </c>
      <c r="G25" s="63">
        <f>-32385.840330583*('2022 IR Data Book'!$A$5)</f>
        <v>-8818.2324049945546</v>
      </c>
      <c r="H25" s="63">
        <f>-76633*('2022 IR Data Book'!$A$5)</f>
        <v>-20866.143876272938</v>
      </c>
      <c r="I25" s="63">
        <f>-98661.5622864977*(('2022 IR Data Book'!$A$5))</f>
        <v>-26864.227600745438</v>
      </c>
      <c r="J25" s="63">
        <f>-26068.052600806*(('2022 IR Data Book'!$A$5))</f>
        <v>-7097.9830639889997</v>
      </c>
    </row>
    <row r="26" spans="2:10" x14ac:dyDescent="0.2">
      <c r="B26" s="50" t="s">
        <v>134</v>
      </c>
      <c r="C26" s="63">
        <f>-26200*('2022 IR Data Book'!$A$5)</f>
        <v>-7133.9105810597393</v>
      </c>
      <c r="D26" s="63">
        <f>-40096*('2022 IR Data Book'!$A$5)</f>
        <v>-10917.606055655393</v>
      </c>
      <c r="E26" s="63">
        <f>-34567*('2022 IR Data Book'!$A$5)</f>
        <v>-9412.1330937210696</v>
      </c>
      <c r="F26" s="63">
        <f>25240*('2022 IR Data Book'!$A$5)</f>
        <v>6872.515384196482</v>
      </c>
      <c r="G26" s="63">
        <f>-16854*('2022 IR Data Book'!$A$5)</f>
        <v>-4589.1194249305663</v>
      </c>
      <c r="H26" s="63">
        <f>-18635*('2022 IR Data Book'!$A$5)</f>
        <v>-5074.0619724445896</v>
      </c>
      <c r="I26" s="63">
        <f>12662.3772294495*(('2022 IR Data Book'!$A$5))</f>
        <v>3447.7964465091486</v>
      </c>
      <c r="J26" s="63">
        <f>17705.3256248682*(('2022 IR Data Book'!$A$5))</f>
        <v>4820.9240387921909</v>
      </c>
    </row>
    <row r="27" spans="2:10" x14ac:dyDescent="0.2">
      <c r="B27" s="50" t="s">
        <v>135</v>
      </c>
      <c r="C27" s="63">
        <f>-121872*('2022 IR Data Book'!$A$5)</f>
        <v>-33184.120241790559</v>
      </c>
      <c r="D27" s="63">
        <f>-88003*('2022 IR Data Book'!$A$5)</f>
        <v>-23962.043239122147</v>
      </c>
      <c r="E27" s="63">
        <f>-120889*('2022 IR Data Book'!$A$5)</f>
        <v>-32916.462451669118</v>
      </c>
      <c r="F27" s="63">
        <f>-166484*('2022 IR Data Book'!$A$5)</f>
        <v>-45331.372869356856</v>
      </c>
      <c r="G27" s="63">
        <f>-49724*('2022 IR Data Book'!$A$5)</f>
        <v>-13539.182050863148</v>
      </c>
      <c r="H27" s="63">
        <f>-41966*('2022 IR Data Book'!$A$5)</f>
        <v>-11426.782116211947</v>
      </c>
      <c r="I27" s="63">
        <f>-119567.233277775*(('2022 IR Data Book'!$A$5))</f>
        <v>-32556.563001082337</v>
      </c>
      <c r="J27" s="63">
        <f>-114680.169806729*(('2022 IR Data Book'!$A$5))</f>
        <v>-31225.88079473098</v>
      </c>
    </row>
    <row r="28" spans="2:10" x14ac:dyDescent="0.2">
      <c r="B28" s="50" t="s">
        <v>136</v>
      </c>
      <c r="C28" s="66">
        <f>0*('2022 IR Data Book'!$A$5)</f>
        <v>0</v>
      </c>
      <c r="D28" s="66">
        <f>0*('2022 IR Data Book'!$A$5)</f>
        <v>0</v>
      </c>
      <c r="E28" s="66">
        <f>18964*('2022 IR Data Book'!$A$5)</f>
        <v>5163.6442847029348</v>
      </c>
      <c r="F28" s="66">
        <f>18305*('2022 IR Data Book'!$A$5)</f>
        <v>4984.2073735228441</v>
      </c>
      <c r="G28" s="66">
        <f>0*('2022 IR Data Book'!$A$5)</f>
        <v>0</v>
      </c>
      <c r="H28" s="66">
        <f>0*('2022 IR Data Book'!$A$5)</f>
        <v>0</v>
      </c>
      <c r="I28" s="66">
        <f>-4434.73416298412*(('2022 IR Data Book'!$A$5))</f>
        <v>-1207.5189683015085</v>
      </c>
      <c r="J28" s="66">
        <f>10903.4345321512*(('2022 IR Data Book'!$A$5))</f>
        <v>2968.8598083513584</v>
      </c>
    </row>
    <row r="29" spans="2:10" x14ac:dyDescent="0.2">
      <c r="C29" s="67"/>
      <c r="D29" s="67"/>
      <c r="E29" s="67"/>
      <c r="F29" s="67"/>
      <c r="G29" s="67"/>
      <c r="H29" s="67"/>
      <c r="I29" s="67"/>
      <c r="J29" s="67"/>
    </row>
    <row r="30" spans="2:10" ht="25.5" x14ac:dyDescent="0.2">
      <c r="B30" s="51" t="s">
        <v>137</v>
      </c>
      <c r="C30" s="68">
        <f t="shared" ref="C30:H30" si="4">C21+SUM(C24:C28)</f>
        <v>10566.356259870401</v>
      </c>
      <c r="D30" s="68">
        <f t="shared" si="4"/>
        <v>62754.179600283169</v>
      </c>
      <c r="E30" s="68">
        <f t="shared" si="4"/>
        <v>106334.47693731962</v>
      </c>
      <c r="F30" s="68">
        <f t="shared" si="4"/>
        <v>121339.10581059732</v>
      </c>
      <c r="G30" s="68">
        <f t="shared" si="4"/>
        <v>37250.213544346327</v>
      </c>
      <c r="H30" s="68">
        <f t="shared" si="4"/>
        <v>79473.669879649286</v>
      </c>
      <c r="I30" s="68">
        <f t="shared" ref="I30:J30" si="5">I21+SUM(I24:I28)</f>
        <v>113963.79815648218</v>
      </c>
      <c r="J30" s="68">
        <f t="shared" si="5"/>
        <v>176008.46553474542</v>
      </c>
    </row>
    <row r="31" spans="2:10" x14ac:dyDescent="0.2">
      <c r="C31" s="63"/>
      <c r="D31" s="63"/>
      <c r="E31" s="63"/>
      <c r="F31" s="63"/>
      <c r="G31" s="63"/>
      <c r="H31" s="63"/>
      <c r="I31" s="63"/>
      <c r="J31" s="63"/>
    </row>
    <row r="32" spans="2:10" x14ac:dyDescent="0.2">
      <c r="B32" s="50" t="s">
        <v>138</v>
      </c>
      <c r="C32" s="65">
        <f>-4565*('2022 IR Data Book'!$A$5)</f>
        <v>-1242.9886184174698</v>
      </c>
      <c r="D32" s="65">
        <f>-19262*('2022 IR Data Book'!$A$5)</f>
        <v>-5244.785710395905</v>
      </c>
      <c r="E32" s="65">
        <f>-24728*('2022 IR Data Book'!$A$5)</f>
        <v>-6733.1046125360772</v>
      </c>
      <c r="F32" s="65">
        <f>-31732*('2022 IR Data Book'!$A$5)</f>
        <v>-8640.200402984261</v>
      </c>
      <c r="G32" s="65">
        <f>-6375*('2022 IR Data Book'!$A$5)</f>
        <v>-1735.8274791700701</v>
      </c>
      <c r="H32" s="65">
        <f>-12681*('2022 IR Data Book'!$A$5)</f>
        <v>-3452.8671785655938</v>
      </c>
      <c r="I32" s="65">
        <f>-18048.7065671711*(('2022 IR Data Book'!$A$5))</f>
        <v>-4914.4220898467292</v>
      </c>
      <c r="J32" s="65">
        <f>-20416.8205054182*(('2022 IR Data Book'!$A$5))</f>
        <v>-5559.2279326412345</v>
      </c>
    </row>
    <row r="33" spans="2:10" x14ac:dyDescent="0.2">
      <c r="B33" s="50" t="s">
        <v>139</v>
      </c>
      <c r="C33" s="65">
        <f>-23078*('2022 IR Data Book'!$A$5)</f>
        <v>-6283.8316179273534</v>
      </c>
      <c r="D33" s="65">
        <f>-49099*('2022 IR Data Book'!$A$5)</f>
        <v>-13369.002886238632</v>
      </c>
      <c r="E33" s="65">
        <f>-61465*('2022 IR Data Book'!$A$5)</f>
        <v>-16736.099765833467</v>
      </c>
      <c r="F33" s="65">
        <f>-96549*('2022 IR Data Book'!$A$5)</f>
        <v>-26289.005064531939</v>
      </c>
      <c r="G33" s="65">
        <f>-15971*('2022 IR Data Book'!$A$5)</f>
        <v>-4348.6903011490494</v>
      </c>
      <c r="H33" s="65">
        <f>-36928*('2022 IR Data Book'!$A$5)</f>
        <v>-10055.001906006642</v>
      </c>
      <c r="I33" s="65">
        <f>-45334.603918391*(('2022 IR Data Book'!$A$5))</f>
        <v>-12344.008037464195</v>
      </c>
      <c r="J33" s="65">
        <f>-58781.8263249087*(('2022 IR Data Book'!$A$5))</f>
        <v>-16005.507358522218</v>
      </c>
    </row>
    <row r="34" spans="2:10" ht="15" x14ac:dyDescent="0.2">
      <c r="B34" s="49" t="s">
        <v>140</v>
      </c>
      <c r="C34" s="55">
        <f t="shared" ref="C34:H34" si="6">SUM(C30:C33)</f>
        <v>3039.5360235255775</v>
      </c>
      <c r="D34" s="55">
        <f t="shared" si="6"/>
        <v>44140.391003648634</v>
      </c>
      <c r="E34" s="55">
        <f t="shared" si="6"/>
        <v>82865.272558950077</v>
      </c>
      <c r="F34" s="55">
        <f t="shared" si="6"/>
        <v>86409.900343081114</v>
      </c>
      <c r="G34" s="55">
        <f t="shared" si="6"/>
        <v>31165.695764027208</v>
      </c>
      <c r="H34" s="55">
        <f t="shared" si="6"/>
        <v>65965.800795077055</v>
      </c>
      <c r="I34" s="55">
        <f t="shared" ref="I34:J34" si="7">SUM(I30:I33)</f>
        <v>96705.368029171252</v>
      </c>
      <c r="J34" s="55">
        <f t="shared" si="7"/>
        <v>154443.73024358199</v>
      </c>
    </row>
    <row r="35" spans="2:10" x14ac:dyDescent="0.2">
      <c r="C35" s="65"/>
      <c r="D35" s="65"/>
      <c r="E35" s="65"/>
      <c r="F35" s="65"/>
      <c r="G35" s="65"/>
      <c r="H35" s="65"/>
      <c r="I35" s="65"/>
      <c r="J35" s="65"/>
    </row>
    <row r="36" spans="2:10" x14ac:dyDescent="0.2">
      <c r="B36" s="46" t="s">
        <v>141</v>
      </c>
      <c r="C36" s="65"/>
      <c r="D36" s="65"/>
      <c r="E36" s="65"/>
      <c r="F36" s="65"/>
      <c r="G36" s="65"/>
      <c r="H36" s="65"/>
      <c r="I36" s="65"/>
      <c r="J36" s="65"/>
    </row>
    <row r="37" spans="2:10" x14ac:dyDescent="0.2">
      <c r="B37" s="50" t="s">
        <v>142</v>
      </c>
      <c r="C37" s="65">
        <f>-34074*('2022 IR Data Book'!$A$5)</f>
        <v>-9277.8957686652502</v>
      </c>
      <c r="D37" s="65">
        <f>-63319*('2022 IR Data Book'!$A$5)</f>
        <v>-17240.919239775634</v>
      </c>
      <c r="E37" s="65">
        <f>-99376*('2022 IR Data Book'!$A$5)</f>
        <v>-27058.759461961552</v>
      </c>
      <c r="F37" s="65">
        <f>-128597*('2022 IR Data Book'!$A$5)</f>
        <v>-35015.248053150353</v>
      </c>
      <c r="G37" s="65">
        <f>-15766*('2022 IR Data Book'!$A$5)</f>
        <v>-4292.8715351522078</v>
      </c>
      <c r="H37" s="65">
        <f>-39025*('2022 IR Data Book'!$A$5)</f>
        <v>-10625.987039154821</v>
      </c>
      <c r="I37" s="65">
        <f>-52609.4286512622*(('2022 IR Data Book'!$A$5))</f>
        <v>-14324.845790791864</v>
      </c>
      <c r="J37" s="65">
        <f>-79140.8907876317*(('2022 IR Data Book'!$A$5))</f>
        <v>-21549.009091006832</v>
      </c>
    </row>
    <row r="38" spans="2:10" x14ac:dyDescent="0.2">
      <c r="B38" s="50" t="s">
        <v>143</v>
      </c>
      <c r="C38" s="65">
        <f>2634*('2022 IR Data Book'!$A$5)</f>
        <v>717.20307139356305</v>
      </c>
      <c r="D38" s="65">
        <f>2908*('2022 IR Data Book'!$A$5)</f>
        <v>791.80961716495119</v>
      </c>
      <c r="E38" s="65">
        <f>5654*('2022 IR Data Book'!$A$5)</f>
        <v>1539.5087948592277</v>
      </c>
      <c r="F38" s="65">
        <f>6277*('2022 IR Data Book'!$A$5)</f>
        <v>1709.143386156946</v>
      </c>
      <c r="G38" s="65">
        <f>708*('2022 IR Data Book'!$A$5)</f>
        <v>192.77895768665249</v>
      </c>
      <c r="H38" s="65">
        <f>1376*('2022 IR Data Book'!$A$5)</f>
        <v>374.66644883733591</v>
      </c>
      <c r="I38" s="65">
        <f>2138.54676555677*(('2022 IR Data Book'!$A$5))</f>
        <v>582.29776331666119</v>
      </c>
      <c r="J38" s="65">
        <f>3578.941980125*(('2022 IR Data Book'!$A$5))</f>
        <v>974.49817026765777</v>
      </c>
    </row>
    <row r="39" spans="2:10" x14ac:dyDescent="0.2">
      <c r="B39" s="50" t="s">
        <v>144</v>
      </c>
      <c r="C39" s="65">
        <f>0*('2022 IR Data Book'!$A$5)</f>
        <v>0</v>
      </c>
      <c r="D39" s="65">
        <f>0*('2022 IR Data Book'!$A$5)</f>
        <v>0</v>
      </c>
      <c r="E39" s="65">
        <f>0*('2022 IR Data Book'!$A$5)</f>
        <v>0</v>
      </c>
      <c r="F39" s="65">
        <f>0*('2022 IR Data Book'!$A$5)</f>
        <v>0</v>
      </c>
      <c r="G39" s="65">
        <f>0*('2022 IR Data Book'!$A$5)</f>
        <v>0</v>
      </c>
      <c r="H39" s="65">
        <f>0*('2022 IR Data Book'!$A$5)</f>
        <v>0</v>
      </c>
      <c r="I39" s="65">
        <f>0*(('2022 IR Data Book'!$A$5))</f>
        <v>0</v>
      </c>
      <c r="J39" s="65">
        <f>0*(('2022 IR Data Book'!$A$5))</f>
        <v>0</v>
      </c>
    </row>
    <row r="40" spans="2:10" x14ac:dyDescent="0.2">
      <c r="B40" s="50" t="s">
        <v>145</v>
      </c>
      <c r="C40" s="65">
        <f>2332*('2022 IR Data Book'!$A$5)</f>
        <v>634.97249904699663</v>
      </c>
      <c r="D40" s="65">
        <f>3855*('2022 IR Data Book'!$A$5)</f>
        <v>1049.665087404019</v>
      </c>
      <c r="E40" s="65">
        <f>5047*('2022 IR Data Book'!$A$5)</f>
        <v>1374.230790175897</v>
      </c>
      <c r="F40" s="65">
        <f>6406*('2022 IR Data Book'!$A$5)</f>
        <v>1744.2683657354462</v>
      </c>
      <c r="G40" s="65">
        <f>991*('2022 IR Data Book'!$A$5)</f>
        <v>269.83608342863363</v>
      </c>
      <c r="H40" s="65">
        <f>1996*('2022 IR Data Book'!$A$5)</f>
        <v>543.48418014485651</v>
      </c>
      <c r="I40" s="65">
        <f>2759.31684564848*(('2022 IR Data Book'!$A$5))</f>
        <v>751.32517716290363</v>
      </c>
      <c r="J40" s="65">
        <f>4932.79116562149*(('2022 IR Data Book'!$A$5))</f>
        <v>1343.1332477322578</v>
      </c>
    </row>
    <row r="41" spans="2:10" x14ac:dyDescent="0.2">
      <c r="B41" s="50" t="s">
        <v>146</v>
      </c>
      <c r="C41" s="65">
        <f>-1535*('2022 IR Data Book'!$A$5)</f>
        <v>-417.960028317813</v>
      </c>
      <c r="D41" s="65">
        <f>662*('2022 IR Data Book'!$A$5)</f>
        <v>180.25377117028808</v>
      </c>
      <c r="E41" s="65">
        <f>250*('2022 IR Data Book'!$A$5)</f>
        <v>68.071665849806678</v>
      </c>
      <c r="F41" s="65">
        <f>-421*('2022 IR Data Book'!$A$5)</f>
        <v>-114.63268529107444</v>
      </c>
      <c r="G41" s="65">
        <f>165*('2022 IR Data Book'!$A$5)</f>
        <v>44.927299460872405</v>
      </c>
      <c r="H41" s="65">
        <f>360*('2022 IR Data Book'!$A$5)</f>
        <v>98.023198823721614</v>
      </c>
      <c r="I41" s="65">
        <f>1621.30920095115*(('2022 IR Data Book'!$A$5))</f>
        <v>441.46087266545493</v>
      </c>
      <c r="J41" s="65">
        <f>0.0484931206221972*(('2022 IR Data Book'!$A$5))</f>
        <v>1.3204030012034306E-2</v>
      </c>
    </row>
    <row r="42" spans="2:10" x14ac:dyDescent="0.2">
      <c r="B42" s="50" t="s">
        <v>147</v>
      </c>
      <c r="C42" s="65">
        <f>0*('2022 IR Data Book'!$A$5)</f>
        <v>0</v>
      </c>
      <c r="D42" s="65">
        <f>0*('2022 IR Data Book'!$A$5)</f>
        <v>0</v>
      </c>
      <c r="E42" s="65">
        <f>289566*('2022 IR Data Book'!$A$5)</f>
        <v>78844.959973860474</v>
      </c>
      <c r="F42" s="65">
        <f>289566*('2022 IR Data Book'!$A$5)</f>
        <v>78844.959973860474</v>
      </c>
      <c r="G42" s="65">
        <f>2545*('2022 IR Data Book'!$A$5)</f>
        <v>692.96955835103188</v>
      </c>
      <c r="H42" s="65">
        <f>2545*('2022 IR Data Book'!$A$5)</f>
        <v>692.96955835103188</v>
      </c>
      <c r="I42" s="65">
        <f>15255.943674*(('2022 IR Data Book'!$A$5))</f>
        <v>4153.99</v>
      </c>
      <c r="J42" s="65">
        <f>16449.538674*(('2022 IR Data Book'!$A$5))</f>
        <v>4478.99</v>
      </c>
    </row>
    <row r="43" spans="2:10" x14ac:dyDescent="0.2">
      <c r="B43" s="50" t="s">
        <v>148</v>
      </c>
      <c r="C43" s="65">
        <f>0*('2022 IR Data Book'!$A$5)</f>
        <v>0</v>
      </c>
      <c r="D43" s="65">
        <f>-4659*('2022 IR Data Book'!$A$5)</f>
        <v>-1268.5835647769973</v>
      </c>
      <c r="E43" s="65">
        <f>-5142*('2022 IR Data Book'!$A$5)</f>
        <v>-1400.0980231988237</v>
      </c>
      <c r="F43" s="65">
        <f>0*('2022 IR Data Book'!$A$5)</f>
        <v>0</v>
      </c>
      <c r="G43" s="65">
        <f>0*('2022 IR Data Book'!$A$5)</f>
        <v>0</v>
      </c>
      <c r="H43" s="65">
        <f>0*('2022 IR Data Book'!$A$5)</f>
        <v>0</v>
      </c>
      <c r="I43" s="65">
        <f>0*(('2022 IR Data Book'!$A$5))</f>
        <v>0</v>
      </c>
      <c r="J43" s="65">
        <f>0*(('2022 IR Data Book'!$A$5))</f>
        <v>0</v>
      </c>
    </row>
    <row r="44" spans="2:10" x14ac:dyDescent="0.2">
      <c r="B44" s="50" t="s">
        <v>315</v>
      </c>
      <c r="C44" s="65"/>
      <c r="D44" s="65"/>
      <c r="E44" s="65"/>
      <c r="F44" s="65"/>
      <c r="G44" s="65"/>
      <c r="H44" s="65"/>
      <c r="I44" s="65">
        <f>0*(('2022 IR Data Book'!$A$5))</f>
        <v>0</v>
      </c>
      <c r="J44" s="65">
        <f>-943032.761036743*(('2022 IR Data Book'!$A$5))</f>
        <v>-256775.243978855</v>
      </c>
    </row>
    <row r="45" spans="2:10" x14ac:dyDescent="0.2">
      <c r="B45" s="50" t="s">
        <v>149</v>
      </c>
      <c r="C45" s="65">
        <f>4557*('2022 IR Data Book'!$A$5)</f>
        <v>1240.8103251102759</v>
      </c>
      <c r="D45" s="65">
        <f>4557*('2022 IR Data Book'!$A$5)</f>
        <v>1240.8103251102759</v>
      </c>
      <c r="E45" s="65">
        <f>13209*('2022 IR Data Book'!$A$5)</f>
        <v>3596.6345368403854</v>
      </c>
      <c r="F45" s="65">
        <f>13209*('2022 IR Data Book'!$A$5)</f>
        <v>3596.6345368403854</v>
      </c>
      <c r="G45" s="65">
        <f>0*('2022 IR Data Book'!$A$5)</f>
        <v>0</v>
      </c>
      <c r="H45" s="65">
        <f>8728*('2022 IR Data Book'!$A$5)</f>
        <v>2376.5179981484507</v>
      </c>
      <c r="I45" s="65">
        <f>8729.19643474623*(('2022 IR Data Book'!$A$5))</f>
        <v>2376.8437713734766</v>
      </c>
      <c r="J45" s="65">
        <f>18208.7389425462*(('2022 IR Data Book'!$A$5))</f>
        <v>4957.9967713734677</v>
      </c>
    </row>
    <row r="46" spans="2:10" x14ac:dyDescent="0.2">
      <c r="B46" s="50" t="s">
        <v>150</v>
      </c>
      <c r="C46" s="65">
        <f>0*('2022 IR Data Book'!$A$5)</f>
        <v>0</v>
      </c>
      <c r="D46" s="65">
        <f>0*('2022 IR Data Book'!$A$5)</f>
        <v>0</v>
      </c>
      <c r="E46" s="65">
        <f>0*('2022 IR Data Book'!$A$5)</f>
        <v>0</v>
      </c>
      <c r="F46" s="65">
        <f>-4895*('2022 IR Data Book'!$A$5)</f>
        <v>-1332.8432173392146</v>
      </c>
      <c r="G46" s="65">
        <f>0*('2022 IR Data Book'!$A$5)</f>
        <v>0</v>
      </c>
      <c r="H46" s="65">
        <f>0*('2022 IR Data Book'!$A$5)</f>
        <v>0</v>
      </c>
      <c r="I46" s="65">
        <f>0*(('2022 IR Data Book'!$A$5))</f>
        <v>0</v>
      </c>
      <c r="J46" s="65">
        <f>-0.175270342850126*(('2022 IR Data Book'!$A$5))</f>
        <v>-4.7723776847499316E-2</v>
      </c>
    </row>
    <row r="47" spans="2:10" x14ac:dyDescent="0.2">
      <c r="B47" s="50" t="s">
        <v>151</v>
      </c>
      <c r="C47" s="65">
        <f>218*('2022 IR Data Book'!$A$5)</f>
        <v>59.358492621031417</v>
      </c>
      <c r="D47" s="65">
        <f>964*('2022 IR Data Book'!$A$5)</f>
        <v>262.48434351685455</v>
      </c>
      <c r="E47" s="65">
        <f>1099*('2022 IR Data Book'!$A$5)</f>
        <v>299.24304307575011</v>
      </c>
      <c r="F47" s="65">
        <f>117*('2022 IR Data Book'!$A$5)</f>
        <v>31.857539617709524</v>
      </c>
      <c r="G47" s="65">
        <f>16*('2022 IR Data Book'!$A$5)</f>
        <v>4.3565866143876271</v>
      </c>
      <c r="H47" s="65">
        <f>196*('2022 IR Data Book'!$A$5)</f>
        <v>53.368186026248431</v>
      </c>
      <c r="I47" s="65">
        <f>332.485447093773*(('2022 IR Data Book'!$A$5))</f>
        <v>90.531353017963568</v>
      </c>
      <c r="J47" s="65">
        <f>-2184.69192783834*(('2022 IR Data Book'!$A$5))</f>
        <v>-594.86247558632567</v>
      </c>
    </row>
    <row r="48" spans="2:10" x14ac:dyDescent="0.2">
      <c r="B48" s="50" t="s">
        <v>152</v>
      </c>
      <c r="C48" s="65">
        <f>-2777*('2022 IR Data Book'!$A$5)</f>
        <v>-756.14006425965249</v>
      </c>
      <c r="D48" s="65">
        <f>-7758*('2022 IR Data Book'!$A$5)</f>
        <v>-2112.3999346512005</v>
      </c>
      <c r="E48" s="65">
        <f>0*('2022 IR Data Book'!$A$5)</f>
        <v>0</v>
      </c>
      <c r="F48" s="65">
        <f>-12132*('2022 IR Data Book'!$A$5)</f>
        <v>-3303.3818003594183</v>
      </c>
      <c r="G48" s="65">
        <f>-815*('2022 IR Data Book'!$A$5)</f>
        <v>-221.91363067036974</v>
      </c>
      <c r="H48" s="65">
        <f>2743*('2022 IR Data Book'!$A$5)</f>
        <v>746.88231770407879</v>
      </c>
      <c r="I48" s="65">
        <f>2753.51740387131*(('2022 IR Data Book'!$A$5))</f>
        <v>749.74606651181989</v>
      </c>
      <c r="J48" s="65">
        <f>3967.57154230902*(('2022 IR Data Book'!$A$5))</f>
        <v>1080.3168170530469</v>
      </c>
    </row>
    <row r="49" spans="2:10" x14ac:dyDescent="0.2">
      <c r="B49" s="50" t="s">
        <v>153</v>
      </c>
      <c r="C49" s="65">
        <f>410*('2022 IR Data Book'!$A$5)</f>
        <v>111.63753199368294</v>
      </c>
      <c r="D49" s="65">
        <f>190505*('2022 IR Data Book'!$A$5)</f>
        <v>51871.97081086968</v>
      </c>
      <c r="E49" s="65">
        <f>-120174*('2022 IR Data Book'!$A$5)</f>
        <v>-32721.77748733867</v>
      </c>
      <c r="F49" s="65">
        <f>(1901+195040)*('2022 IR Data Book'!$A$5)</f>
        <v>53624.407776507105</v>
      </c>
      <c r="G49" s="65">
        <f>128*('2022 IR Data Book'!$A$5)</f>
        <v>34.852692915101017</v>
      </c>
      <c r="H49" s="65">
        <f>45155*('2022 IR Data Book'!$A$5)</f>
        <v>12295.104285792082</v>
      </c>
      <c r="I49" s="65">
        <f>45142.2209088347*(('2022 IR Data Book'!$A$5))</f>
        <v>12291.624709697408</v>
      </c>
      <c r="J49" s="65">
        <f>45619.2415088347*(('2022 IR Data Book'!$A$5))</f>
        <v>12421.511057244103</v>
      </c>
    </row>
    <row r="50" spans="2:10" x14ac:dyDescent="0.2">
      <c r="B50" s="50" t="s">
        <v>154</v>
      </c>
      <c r="C50" s="65">
        <f>0*('2022 IR Data Book'!$A$5)</f>
        <v>0</v>
      </c>
      <c r="D50" s="65">
        <f>0*('2022 IR Data Book'!$A$5)</f>
        <v>0</v>
      </c>
      <c r="E50" s="65">
        <f>0*('2022 IR Data Book'!$A$5)</f>
        <v>0</v>
      </c>
      <c r="F50" s="65">
        <f>567*('2022 IR Data Book'!$A$5)</f>
        <v>154.38653814736153</v>
      </c>
      <c r="G50" s="65">
        <f>0*('2022 IR Data Book'!$A$5)</f>
        <v>0</v>
      </c>
      <c r="H50" s="65">
        <f>0*('2022 IR Data Book'!$A$5)</f>
        <v>0</v>
      </c>
      <c r="I50" s="65">
        <f>(0*('2022 IR Data Book'!$A$5))*(('2022 IR Data Book'!$A$5))</f>
        <v>0</v>
      </c>
      <c r="J50" s="65">
        <f>(0*('2022 IR Data Book'!$A$5))*(('2022 IR Data Book'!$A$5))</f>
        <v>0</v>
      </c>
    </row>
    <row r="51" spans="2:10" ht="15" x14ac:dyDescent="0.2">
      <c r="B51" s="49" t="s">
        <v>155</v>
      </c>
      <c r="C51" s="55">
        <f t="shared" ref="C51:J51" si="8">SUM(C37:C50)</f>
        <v>-7688.0139410771653</v>
      </c>
      <c r="D51" s="55">
        <f t="shared" si="8"/>
        <v>34775.09121603224</v>
      </c>
      <c r="E51" s="55">
        <f t="shared" si="8"/>
        <v>24542.013832162495</v>
      </c>
      <c r="F51" s="55">
        <f t="shared" si="8"/>
        <v>99939.552360725371</v>
      </c>
      <c r="G51" s="55">
        <f t="shared" si="8"/>
        <v>-3275.0639873658984</v>
      </c>
      <c r="H51" s="55">
        <f t="shared" si="8"/>
        <v>6555.0291346729828</v>
      </c>
      <c r="I51" s="55">
        <f t="shared" si="8"/>
        <v>7112.9739229538236</v>
      </c>
      <c r="J51" s="55">
        <f t="shared" si="8"/>
        <v>-253662.70400152437</v>
      </c>
    </row>
    <row r="52" spans="2:10" x14ac:dyDescent="0.2">
      <c r="C52" s="65"/>
      <c r="D52" s="65"/>
      <c r="E52" s="65"/>
      <c r="F52" s="65"/>
      <c r="G52" s="65"/>
      <c r="H52" s="65"/>
      <c r="I52" s="65"/>
      <c r="J52" s="65"/>
    </row>
    <row r="53" spans="2:10" x14ac:dyDescent="0.2">
      <c r="B53" s="52"/>
      <c r="C53" s="57"/>
      <c r="D53" s="57"/>
      <c r="E53" s="57"/>
      <c r="F53" s="57"/>
      <c r="G53" s="57"/>
      <c r="H53" s="57"/>
      <c r="I53" s="57"/>
      <c r="J53" s="57"/>
    </row>
    <row r="54" spans="2:10" x14ac:dyDescent="0.2">
      <c r="B54" s="46" t="s">
        <v>156</v>
      </c>
      <c r="C54" s="57"/>
      <c r="D54" s="57"/>
      <c r="E54" s="57"/>
      <c r="F54" s="57"/>
      <c r="G54" s="57"/>
      <c r="H54" s="57"/>
      <c r="I54" s="57"/>
      <c r="J54" s="57"/>
    </row>
    <row r="55" spans="2:10" x14ac:dyDescent="0.2">
      <c r="B55" s="52" t="s">
        <v>157</v>
      </c>
      <c r="C55" s="57">
        <f>-17726*('2022 IR Data Book'!$A$5)</f>
        <v>-4826.5533954146922</v>
      </c>
      <c r="D55" s="57">
        <f>-32563*('2022 IR Data Book'!$A$5)</f>
        <v>-8866.4706202690195</v>
      </c>
      <c r="E55" s="57">
        <f>-46408*('2022 IR Data Book'!$A$5)</f>
        <v>-12636.279475031311</v>
      </c>
      <c r="F55" s="57">
        <f>-60218*('2022 IR Data Book'!$A$5)</f>
        <v>-16396.558296574633</v>
      </c>
      <c r="G55" s="57">
        <f>-12262*('2022 IR Data Book'!$A$5)</f>
        <v>-3338.7790666013175</v>
      </c>
      <c r="H55" s="57">
        <f>-27657*('2022 IR Data Book'!$A$5)</f>
        <v>-7530.6322496324128</v>
      </c>
      <c r="I55" s="57">
        <f>-44033.9826625978*(('2022 IR Data Book'!$A$5))</f>
        <v>-11989.866215378152</v>
      </c>
      <c r="J55" s="57">
        <f>-60186.5962564553*(('2022 IR Data Book'!$A$5))</f>
        <v>-16388.0074760266</v>
      </c>
    </row>
    <row r="56" spans="2:10" x14ac:dyDescent="0.2">
      <c r="B56" s="52" t="s">
        <v>158</v>
      </c>
      <c r="C56" s="57">
        <f>2166*('2022 IR Data Book'!$A$5)</f>
        <v>589.77291292272503</v>
      </c>
      <c r="D56" s="57">
        <f>2137*('2022 IR Data Book'!$A$5)</f>
        <v>581.87659968414744</v>
      </c>
      <c r="E56" s="57">
        <f>3043*('2022 IR Data Book'!$A$5)</f>
        <v>828.56831672384681</v>
      </c>
      <c r="F56" s="57">
        <f>4044*('2022 IR Data Book'!$A$5)</f>
        <v>1101.1272667864728</v>
      </c>
      <c r="G56" s="57">
        <f>1601*('2022 IR Data Book'!$A$5)</f>
        <v>435.93094810216195</v>
      </c>
      <c r="H56" s="57">
        <f>6110*('2022 IR Data Book'!$A$5)</f>
        <v>1663.6715133692751</v>
      </c>
      <c r="I56" s="57">
        <f>15464.6045364219*(('2022 IR Data Book'!$A$5))</f>
        <v>4210.8055700108644</v>
      </c>
      <c r="J56" s="57">
        <f>996033.540730966*(('2022 IR Data Book'!$A$5))</f>
        <v>271206.64943935251</v>
      </c>
    </row>
    <row r="57" spans="2:10" x14ac:dyDescent="0.2">
      <c r="B57" s="52" t="s">
        <v>159</v>
      </c>
      <c r="C57" s="57">
        <f>-160225*('2022 IR Data Book'!$A$5)</f>
        <v>-43627.130643141099</v>
      </c>
      <c r="D57" s="57">
        <f>-169019*('2022 IR Data Book'!$A$5)</f>
        <v>-46021.619561073894</v>
      </c>
      <c r="E57" s="57">
        <f>-286405*('2022 IR Data Book'!$A$5)</f>
        <v>-77984.261830855525</v>
      </c>
      <c r="F57" s="57">
        <f>-544203*('2022 IR Data Book'!$A$5)</f>
        <v>-148179.21908184935</v>
      </c>
      <c r="G57" s="57">
        <f>-2804*('2022 IR Data Book'!$A$5)</f>
        <v>-763.49180417143168</v>
      </c>
      <c r="H57" s="57">
        <f>-6930*('2022 IR Data Book'!$A$5)</f>
        <v>-1886.946577356641</v>
      </c>
      <c r="I57" s="57">
        <f>-16648.3220056357*(('2022 IR Data Book'!$A$5))</f>
        <v>-4533.1160501104659</v>
      </c>
      <c r="J57" s="57">
        <f>-24790.5194128191*(('2022 IR Data Book'!$A$5))</f>
        <v>-6750.1278148502688</v>
      </c>
    </row>
    <row r="58" spans="2:10" x14ac:dyDescent="0.2">
      <c r="B58" s="53" t="s">
        <v>160</v>
      </c>
      <c r="C58" s="57">
        <f>-80409*('2022 IR Data Book'!$A$5)</f>
        <v>-21894.298317268418</v>
      </c>
      <c r="D58" s="57">
        <f>-137113*('2022 IR Data Book'!$A$5)</f>
        <v>-37334.041278658173</v>
      </c>
      <c r="E58" s="57">
        <f>-188375*('2022 IR Data Book'!$A$5)</f>
        <v>-51292.000217829329</v>
      </c>
      <c r="F58" s="57">
        <f>-267254*('2022 IR Data Book'!$A$5)</f>
        <v>-72769.699940096936</v>
      </c>
      <c r="G58" s="57">
        <f>-82244*('2022 IR Data Book'!$A$5)</f>
        <v>-22393.944344606</v>
      </c>
      <c r="H58" s="57">
        <f>-146413*('2022 IR Data Book'!$A$5)</f>
        <v>-39866.307248270976</v>
      </c>
      <c r="I58" s="57">
        <f>-217221.814012158*(('2022 IR Data Book'!$A$5))</f>
        <v>-59146.602954897884</v>
      </c>
      <c r="J58" s="57">
        <f>-241793.14812273*(('2022 IR Data Book'!$A$5))</f>
        <v>-65837.049535133148</v>
      </c>
    </row>
    <row r="59" spans="2:10" x14ac:dyDescent="0.2">
      <c r="B59" s="52" t="s">
        <v>161</v>
      </c>
      <c r="C59" s="57">
        <f>-1202*('2022 IR Data Book'!$A$5)</f>
        <v>-327.28856940587048</v>
      </c>
      <c r="D59" s="57">
        <f>-2395*('2022 IR Data Book'!$A$5)</f>
        <v>-652.12655884114793</v>
      </c>
      <c r="E59" s="57">
        <f>-2389*('2022 IR Data Book'!$A$5)</f>
        <v>-650.49283886075261</v>
      </c>
      <c r="F59" s="57">
        <f>-2654*('2022 IR Data Book'!$A$5)</f>
        <v>-722.64880466154762</v>
      </c>
      <c r="G59" s="57">
        <f>-449*('2022 IR Data Book'!$A$5)</f>
        <v>-122.25671186625279</v>
      </c>
      <c r="H59" s="57">
        <f>-740*('2022 IR Data Book'!$A$5)</f>
        <v>-201.49213091542777</v>
      </c>
      <c r="I59" s="57">
        <f>-227.886074387136*(('2022 IR Data Book'!$A$5))</f>
        <v>-62.050338830021239</v>
      </c>
      <c r="J59" s="57">
        <f>-222.952795800571*(('2022 IR Data Book'!$A$5))</f>
        <v>-60.707072864066603</v>
      </c>
    </row>
    <row r="60" spans="2:10" x14ac:dyDescent="0.2">
      <c r="B60" s="54" t="s">
        <v>162</v>
      </c>
      <c r="C60" s="57">
        <f>0*('2022 IR Data Book'!$A$5)</f>
        <v>0</v>
      </c>
      <c r="D60" s="57">
        <f>0*('2022 IR Data Book'!$A$5)</f>
        <v>0</v>
      </c>
      <c r="E60" s="57">
        <f>0*('2022 IR Data Book'!$A$5)</f>
        <v>0</v>
      </c>
      <c r="F60" s="57">
        <f>0*('2022 IR Data Book'!$A$5)</f>
        <v>0</v>
      </c>
      <c r="G60" s="57">
        <f>0*('2022 IR Data Book'!$A$5)</f>
        <v>0</v>
      </c>
      <c r="H60" s="57">
        <f>0*('2022 IR Data Book'!$A$5)</f>
        <v>0</v>
      </c>
      <c r="I60" s="57">
        <f>0*(('2022 IR Data Book'!$A$5))</f>
        <v>0</v>
      </c>
      <c r="J60" s="57">
        <f>0*(('2022 IR Data Book'!$A$5))</f>
        <v>0</v>
      </c>
    </row>
    <row r="61" spans="2:10" x14ac:dyDescent="0.2">
      <c r="B61" s="54" t="s">
        <v>163</v>
      </c>
      <c r="C61" s="57">
        <f>0*('2022 IR Data Book'!$A$5)</f>
        <v>0</v>
      </c>
      <c r="D61" s="57">
        <f>-190333*('2022 IR Data Book'!$A$5)</f>
        <v>-51825.137504765014</v>
      </c>
      <c r="E61" s="57">
        <f>-190333*('2022 IR Data Book'!$A$5)</f>
        <v>-51825.137504765014</v>
      </c>
      <c r="F61" s="57">
        <f>(E61)*('2022 IR Data Book'!$A$5)</f>
        <v>-14111.29377137859</v>
      </c>
      <c r="G61" s="57">
        <f>0*('2022 IR Data Book'!$A$5)</f>
        <v>0</v>
      </c>
      <c r="H61" s="57">
        <f>-190333*('2022 IR Data Book'!$A$5)</f>
        <v>-51825.137504765014</v>
      </c>
      <c r="I61" s="57">
        <f>-190333*(('2022 IR Data Book'!$A$5))</f>
        <v>-51825.137504765014</v>
      </c>
      <c r="J61" s="57">
        <f>-190333*(('2022 IR Data Book'!$A$5))</f>
        <v>-51825.137504765014</v>
      </c>
    </row>
    <row r="62" spans="2:10" ht="15" x14ac:dyDescent="0.25">
      <c r="B62" s="49" t="s">
        <v>164</v>
      </c>
      <c r="C62" s="56">
        <f t="shared" ref="C62:H62" si="9">SUM(C55:C61)</f>
        <v>-70085.498012307347</v>
      </c>
      <c r="D62" s="56">
        <f t="shared" si="9"/>
        <v>-144117.51892392311</v>
      </c>
      <c r="E62" s="56">
        <f t="shared" si="9"/>
        <v>-193559.60355061808</v>
      </c>
      <c r="F62" s="56">
        <f t="shared" si="9"/>
        <v>-251078.29262777459</v>
      </c>
      <c r="G62" s="56">
        <f t="shared" si="9"/>
        <v>-26182.540979142839</v>
      </c>
      <c r="H62" s="56">
        <f t="shared" si="9"/>
        <v>-99646.84419757119</v>
      </c>
      <c r="I62" s="56">
        <f t="shared" ref="I62:J62" si="10">SUM(I55:I61)</f>
        <v>-123345.96749397067</v>
      </c>
      <c r="J62" s="56">
        <f t="shared" si="10"/>
        <v>130345.62003571342</v>
      </c>
    </row>
    <row r="63" spans="2:10" x14ac:dyDescent="0.2">
      <c r="C63" s="28"/>
      <c r="D63" s="28"/>
      <c r="E63" s="28"/>
      <c r="F63" s="28"/>
      <c r="G63" s="28"/>
      <c r="H63" s="28"/>
      <c r="I63" s="28"/>
      <c r="J63" s="28"/>
    </row>
    <row r="64" spans="2:10" ht="15" x14ac:dyDescent="0.2">
      <c r="B64" s="49" t="s">
        <v>165</v>
      </c>
      <c r="C64" s="68">
        <f t="shared" ref="C64:J64" si="11">C34+C51+C62</f>
        <v>-74733.975929858934</v>
      </c>
      <c r="D64" s="68">
        <f t="shared" si="11"/>
        <v>-65202.036704242229</v>
      </c>
      <c r="E64" s="68">
        <f t="shared" si="11"/>
        <v>-86152.317159505503</v>
      </c>
      <c r="F64" s="68">
        <f t="shared" si="11"/>
        <v>-64728.839923968102</v>
      </c>
      <c r="G64" s="68">
        <f t="shared" si="11"/>
        <v>1708.0907975184709</v>
      </c>
      <c r="H64" s="68">
        <f t="shared" si="11"/>
        <v>-27126.014267821156</v>
      </c>
      <c r="I64" s="68">
        <f t="shared" si="11"/>
        <v>-19527.625541845598</v>
      </c>
      <c r="J64" s="68">
        <f t="shared" si="11"/>
        <v>31126.64627777104</v>
      </c>
    </row>
    <row r="65" spans="2:12" x14ac:dyDescent="0.2">
      <c r="C65" s="62"/>
      <c r="D65" s="62"/>
      <c r="E65" s="62"/>
      <c r="F65" s="62"/>
      <c r="G65" s="62"/>
      <c r="H65" s="62"/>
      <c r="I65" s="62"/>
      <c r="J65" s="62"/>
    </row>
    <row r="66" spans="2:12" x14ac:dyDescent="0.2">
      <c r="B66" s="52" t="s">
        <v>166</v>
      </c>
      <c r="C66" s="65">
        <f>-8408*('2022 IR Data Book'!$A$5)</f>
        <v>-2289.3862658606981</v>
      </c>
      <c r="D66" s="65">
        <f>-10649*('2022 IR Data Book'!$A$5)</f>
        <v>-2899.5806785383652</v>
      </c>
      <c r="E66" s="65">
        <f>-7038*('2022 IR Data Book'!$A$5)</f>
        <v>-1916.3535370037575</v>
      </c>
      <c r="F66" s="65">
        <f>27490*('2022 IR Data Book'!$A$5)</f>
        <v>7485.1603768447421</v>
      </c>
      <c r="G66" s="65">
        <f>-16761*('2022 IR Data Book'!$A$5)</f>
        <v>-4563.7967652344387</v>
      </c>
      <c r="H66" s="65">
        <f>-14043*('2022 IR Data Book'!$A$5)</f>
        <v>-3823.7216141153403</v>
      </c>
      <c r="I66" s="65">
        <f>-19654.6841143637*(('2022 IR Data Book'!$A$5))</f>
        <v>-5351.708357665877</v>
      </c>
      <c r="J66" s="65">
        <f>-45402.2242123379*(('2022 IR Data Book'!$A$5))</f>
        <v>-12362.420141681068</v>
      </c>
    </row>
    <row r="67" spans="2:12" x14ac:dyDescent="0.2">
      <c r="B67" s="52" t="s">
        <v>167</v>
      </c>
      <c r="C67" s="66">
        <f>907428*('2022 IR Data Book'!$A$5)</f>
        <v>247080.54239503347</v>
      </c>
      <c r="D67" s="66">
        <f>907428*('2022 IR Data Book'!$A$5)</f>
        <v>247080.54239503347</v>
      </c>
      <c r="E67" s="66">
        <f>955649*('2022 IR Data Book'!$A$5)</f>
        <v>260210.4775908076</v>
      </c>
      <c r="F67" s="66">
        <f>907428*('2022 IR Data Book'!$A$5)</f>
        <v>247080.54239503347</v>
      </c>
      <c r="G67" s="66">
        <f>558687*('2022 IR Data Book'!$A$5)</f>
        <v>152123.01911452378</v>
      </c>
      <c r="H67" s="66">
        <f>558687*('2022 IR Data Book'!$A$5)</f>
        <v>152123.01911452378</v>
      </c>
      <c r="I67" s="66">
        <f>558686.612170299*(('2022 IR Data Book'!$A$5))</f>
        <v>152122.91351366852</v>
      </c>
      <c r="J67" s="66">
        <f>558686.612170299*(('2022 IR Data Book'!$A$5))</f>
        <v>152122.91351366852</v>
      </c>
    </row>
    <row r="68" spans="2:12" ht="15" x14ac:dyDescent="0.2">
      <c r="B68" s="49" t="s">
        <v>168</v>
      </c>
      <c r="C68" s="55">
        <f t="shared" ref="C68:H68" si="12">C64+C66+C67</f>
        <v>170057.18019931385</v>
      </c>
      <c r="D68" s="55">
        <f t="shared" si="12"/>
        <v>178978.92501225288</v>
      </c>
      <c r="E68" s="55">
        <f t="shared" si="12"/>
        <v>172141.80689429835</v>
      </c>
      <c r="F68" s="55">
        <f t="shared" si="12"/>
        <v>189836.86284791009</v>
      </c>
      <c r="G68" s="55">
        <f t="shared" si="12"/>
        <v>149267.31314680781</v>
      </c>
      <c r="H68" s="55">
        <f t="shared" si="12"/>
        <v>121173.28323258727</v>
      </c>
      <c r="I68" s="55">
        <f t="shared" ref="I68:J68" si="13">I64+I66+I67</f>
        <v>127243.57961415705</v>
      </c>
      <c r="J68" s="55">
        <f t="shared" si="13"/>
        <v>170887.13964975849</v>
      </c>
    </row>
    <row r="69" spans="2:12" x14ac:dyDescent="0.2">
      <c r="C69" s="69"/>
      <c r="D69" s="69"/>
      <c r="E69" s="69"/>
      <c r="F69" s="69"/>
      <c r="G69" s="69"/>
      <c r="H69" s="63"/>
      <c r="I69" s="63"/>
      <c r="J69" s="63"/>
    </row>
    <row r="70" spans="2:12" x14ac:dyDescent="0.2">
      <c r="C70" s="69"/>
      <c r="D70" s="69"/>
      <c r="E70" s="69"/>
      <c r="F70" s="69"/>
      <c r="G70" s="69"/>
      <c r="H70" s="63"/>
      <c r="I70" s="63"/>
      <c r="J70" s="63"/>
    </row>
    <row r="71" spans="2:12" x14ac:dyDescent="0.2">
      <c r="C71" s="136" t="s">
        <v>169</v>
      </c>
      <c r="D71" s="134" t="s">
        <v>170</v>
      </c>
      <c r="E71" s="136" t="s">
        <v>171</v>
      </c>
      <c r="F71" s="136" t="s">
        <v>172</v>
      </c>
      <c r="G71" s="136" t="s">
        <v>173</v>
      </c>
      <c r="H71" s="134" t="s">
        <v>174</v>
      </c>
      <c r="I71" s="134" t="s">
        <v>277</v>
      </c>
      <c r="J71" s="134" t="s">
        <v>307</v>
      </c>
    </row>
    <row r="72" spans="2:12" x14ac:dyDescent="0.2">
      <c r="B72" s="71" t="s">
        <v>175</v>
      </c>
      <c r="C72" s="223">
        <f>'Group Profit &amp; Loss Stm'!C8</f>
        <v>387990.25213745027</v>
      </c>
      <c r="D72" s="223">
        <f>'Group Profit &amp; Loss Stm'!D8+'Group Profit &amp; Loss Stm'!C8</f>
        <v>815731.63426455366</v>
      </c>
      <c r="E72" s="223">
        <f>'Group Profit &amp; Loss Stm'!E8+'Group Profit &amp; Loss Stm'!D8+'Group Profit &amp; Loss Stm'!C8+1</f>
        <v>1213653.4533028372</v>
      </c>
      <c r="F72" s="223">
        <f>'Group Profit &amp; Loss Stm'!G8</f>
        <v>1652454.664270544</v>
      </c>
      <c r="G72" s="223">
        <f>'Group Profit &amp; Loss Stm'!H8</f>
        <v>394524.81323773891</v>
      </c>
      <c r="H72" s="223">
        <f>'Group Profit &amp; Loss Stm'!I8+'Group Profit &amp; Loss Stm'!H8</f>
        <v>807471.70401660679</v>
      </c>
      <c r="I72" s="223">
        <f>'Group Profit &amp; Loss Stm'!I8+'Group Profit &amp; Loss Stm'!H8+'Group Profit &amp; Loss Stm'!J8</f>
        <v>1195820.6792087948</v>
      </c>
      <c r="J72" s="223">
        <f>'Group Profit &amp; Loss Stm'!L8</f>
        <v>1613572.0960350323</v>
      </c>
      <c r="K72" s="225">
        <v>-1.0730475187301636E-3</v>
      </c>
      <c r="L72" s="28"/>
    </row>
    <row r="73" spans="2:12" x14ac:dyDescent="0.2">
      <c r="B73" s="71" t="s">
        <v>176</v>
      </c>
      <c r="C73" s="221">
        <f t="shared" ref="C73:J73" si="14">-C37</f>
        <v>9277.8957686652502</v>
      </c>
      <c r="D73" s="221">
        <f t="shared" si="14"/>
        <v>17240.919239775634</v>
      </c>
      <c r="E73" s="221">
        <f t="shared" si="14"/>
        <v>27058.759461961552</v>
      </c>
      <c r="F73" s="221">
        <f t="shared" si="14"/>
        <v>35015.248053150353</v>
      </c>
      <c r="G73" s="221">
        <f t="shared" si="14"/>
        <v>4292.8715351522078</v>
      </c>
      <c r="H73" s="221">
        <f t="shared" si="14"/>
        <v>10625.987039154821</v>
      </c>
      <c r="I73" s="221">
        <f t="shared" si="14"/>
        <v>14324.845790791864</v>
      </c>
      <c r="J73" s="221">
        <f t="shared" si="14"/>
        <v>21549.009091006832</v>
      </c>
      <c r="L73" s="227"/>
    </row>
    <row r="74" spans="2:12" x14ac:dyDescent="0.2">
      <c r="B74" s="71" t="s">
        <v>177</v>
      </c>
      <c r="C74" s="222">
        <f t="shared" ref="C74:H74" si="15">C73/C72</f>
        <v>2.3912703263942937E-2</v>
      </c>
      <c r="D74" s="222">
        <f t="shared" si="15"/>
        <v>2.1135528543427987E-2</v>
      </c>
      <c r="E74" s="222">
        <f t="shared" si="15"/>
        <v>2.2295293098968102E-2</v>
      </c>
      <c r="F74" s="222">
        <f t="shared" si="15"/>
        <v>2.1189838856249293E-2</v>
      </c>
      <c r="G74" s="222">
        <f t="shared" si="15"/>
        <v>1.088111923790543E-2</v>
      </c>
      <c r="H74" s="222">
        <f t="shared" si="15"/>
        <v>1.3159578207258495E-2</v>
      </c>
      <c r="I74" s="222">
        <f t="shared" ref="I74:J74" si="16">I73/I72</f>
        <v>1.1979091882128834E-2</v>
      </c>
      <c r="J74" s="222">
        <f t="shared" si="16"/>
        <v>1.3354847387332967E-2</v>
      </c>
    </row>
    <row r="75" spans="2:12" x14ac:dyDescent="0.2">
      <c r="B75" s="71"/>
    </row>
    <row r="79" spans="2:12" x14ac:dyDescent="0.2">
      <c r="B79" s="71"/>
    </row>
  </sheetData>
  <pageMargins left="0.7" right="0.7" top="0.75" bottom="0.75" header="0.3" footer="0.3"/>
  <pageSetup orientation="portrait" horizontalDpi="1200" verticalDpi="1200" r:id="rId1"/>
  <ignoredErrors>
    <ignoredError sqref="E67 C46:H46 C17:F20 F50 C49:F49 C48:F48 C47:F47 C45:I4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3515-43FA-4F38-9C20-53D5790F179B}">
  <dimension ref="A1:AD27"/>
  <sheetViews>
    <sheetView showGridLines="0" zoomScaleNormal="100" workbookViewId="0">
      <pane xSplit="2" ySplit="5" topLeftCell="C6" activePane="bottomRight" state="frozen"/>
      <selection pane="topRight" activeCell="P28" sqref="P28"/>
      <selection pane="bottomLeft" activeCell="P28" sqref="P28"/>
      <selection pane="bottomRight" activeCell="H37" sqref="H37"/>
    </sheetView>
  </sheetViews>
  <sheetFormatPr defaultColWidth="9.140625" defaultRowHeight="12.75" x14ac:dyDescent="0.2"/>
  <cols>
    <col min="1" max="1" width="6.28515625" style="20" customWidth="1"/>
    <col min="2" max="2" width="35.85546875" style="20" customWidth="1"/>
    <col min="3" max="3" width="14.7109375" style="20" customWidth="1"/>
    <col min="4" max="4" width="14.140625" style="20" customWidth="1"/>
    <col min="5" max="5" width="14" style="20" customWidth="1"/>
    <col min="6" max="7" width="14.140625" style="20" customWidth="1"/>
    <col min="8" max="8" width="13.85546875" style="20" customWidth="1"/>
    <col min="9" max="11" width="12.7109375" style="20" bestFit="1" customWidth="1"/>
    <col min="12" max="12" width="12.7109375" style="20" customWidth="1"/>
    <col min="13" max="13" width="13.140625" style="20" customWidth="1"/>
    <col min="14" max="14" width="9.140625" style="20"/>
    <col min="15" max="15" width="17.140625" style="20" customWidth="1"/>
    <col min="16" max="16" width="9.140625" style="20"/>
    <col min="17" max="19" width="9.28515625" style="20" hidden="1" customWidth="1"/>
    <col min="20" max="20" width="12.42578125" style="20" hidden="1" customWidth="1"/>
    <col min="21" max="26" width="9.28515625" style="20" hidden="1" customWidth="1"/>
    <col min="27" max="27" width="9.140625" style="20" hidden="1" customWidth="1"/>
    <col min="28" max="16384" width="9.140625" style="20"/>
  </cols>
  <sheetData>
    <row r="1" spans="1:30" x14ac:dyDescent="0.2">
      <c r="A1" s="177">
        <f>'2022 IR Data Book'!$A$5</f>
        <v>0.27228666339922669</v>
      </c>
    </row>
    <row r="2" spans="1:30" x14ac:dyDescent="0.2">
      <c r="A2" s="177"/>
    </row>
    <row r="3" spans="1:30" ht="15" x14ac:dyDescent="0.25">
      <c r="B3" s="70"/>
      <c r="T3" s="71"/>
    </row>
    <row r="4" spans="1:30" ht="14.25" customHeight="1" x14ac:dyDescent="0.2">
      <c r="B4" s="72" t="s">
        <v>20</v>
      </c>
      <c r="C4" s="72"/>
      <c r="D4" s="73"/>
      <c r="E4" s="72"/>
      <c r="F4" s="72"/>
      <c r="G4" s="72"/>
      <c r="H4" s="72"/>
      <c r="I4" s="73"/>
      <c r="J4" s="73"/>
      <c r="K4" s="73"/>
      <c r="L4" s="73"/>
      <c r="M4" s="190" t="s">
        <v>21</v>
      </c>
      <c r="N4" s="190"/>
      <c r="O4" s="190" t="s">
        <v>21</v>
      </c>
      <c r="P4" s="190"/>
    </row>
    <row r="5" spans="1:30" x14ac:dyDescent="0.2">
      <c r="B5" s="74"/>
      <c r="C5" s="218" t="s">
        <v>22</v>
      </c>
      <c r="D5" s="218" t="s">
        <v>23</v>
      </c>
      <c r="E5" s="218" t="s">
        <v>24</v>
      </c>
      <c r="F5" s="218" t="s">
        <v>25</v>
      </c>
      <c r="G5" s="218">
        <v>2021</v>
      </c>
      <c r="H5" s="218" t="s">
        <v>27</v>
      </c>
      <c r="I5" s="218" t="s">
        <v>28</v>
      </c>
      <c r="J5" s="218" t="s">
        <v>275</v>
      </c>
      <c r="K5" s="218" t="s">
        <v>303</v>
      </c>
      <c r="L5" s="218">
        <v>2022</v>
      </c>
      <c r="M5" s="75" t="s">
        <v>304</v>
      </c>
      <c r="N5" s="75" t="s">
        <v>29</v>
      </c>
      <c r="O5" s="75" t="s">
        <v>305</v>
      </c>
      <c r="P5" s="75" t="s">
        <v>29</v>
      </c>
    </row>
    <row r="6" spans="1:30" x14ac:dyDescent="0.2">
      <c r="B6" s="76"/>
      <c r="C6" s="76"/>
      <c r="D6" s="77"/>
      <c r="E6" s="76"/>
      <c r="F6" s="76"/>
      <c r="G6" s="76"/>
      <c r="H6" s="76"/>
      <c r="I6" s="77"/>
      <c r="J6" s="77"/>
      <c r="K6" s="77"/>
      <c r="L6" s="77"/>
      <c r="M6" s="77"/>
      <c r="N6" s="77"/>
      <c r="Q6" s="90"/>
      <c r="R6" s="90"/>
      <c r="S6" s="90"/>
      <c r="T6" s="90"/>
      <c r="U6" s="90"/>
      <c r="V6" s="90"/>
      <c r="W6" s="90"/>
      <c r="X6" s="90"/>
      <c r="Y6" s="90"/>
      <c r="Z6" s="90"/>
      <c r="AA6" s="90"/>
    </row>
    <row r="7" spans="1:30" ht="15" x14ac:dyDescent="0.25">
      <c r="B7" s="196" t="s">
        <v>175</v>
      </c>
      <c r="C7" s="200">
        <f>1002142.34808517*('2022 IR Data Book'!$A$5)</f>
        <v>272869.99621117738</v>
      </c>
      <c r="D7" s="200">
        <f>1100781.67756688*('2022 IR Data Book'!$A$5)</f>
        <v>299728.17011568911</v>
      </c>
      <c r="E7" s="200">
        <f>1069651.75737739*(('2022 IR Data Book'!$A$5))</f>
        <v>291251.90801540873</v>
      </c>
      <c r="F7" s="200">
        <f>1097153.77672902*(('2022 IR Data Book'!$A$5))</f>
        <v>298740.34110140498</v>
      </c>
      <c r="G7" s="200">
        <f>C7+D7+E7+F7</f>
        <v>1162590.4154436802</v>
      </c>
      <c r="H7" s="200">
        <f>911091.918675055*('2022 IR Data Book'!$A$5)</f>
        <v>248078.17858603032</v>
      </c>
      <c r="I7" s="200">
        <f>936163.101694755*('2022 IR Data Book'!$A$5)</f>
        <v>254904.7273579358</v>
      </c>
      <c r="J7" s="200">
        <f>913035.345530228*(('2022 IR Data Book'!$A$5))</f>
        <v>248607.34779998582</v>
      </c>
      <c r="K7" s="200">
        <f>989790.300054706*(('2022 IR Data Book'!$A$5))</f>
        <v>269506.69826681534</v>
      </c>
      <c r="L7" s="200">
        <f>SUM(H7:K7)</f>
        <v>1021096.9520107673</v>
      </c>
      <c r="M7" s="201">
        <f>(K7-F7)</f>
        <v>-29233.642834589642</v>
      </c>
      <c r="N7" s="202">
        <f>M7/F7</f>
        <v>-9.7856361570754585E-2</v>
      </c>
      <c r="O7" s="201">
        <f>L7-G7</f>
        <v>-141493.46343291295</v>
      </c>
      <c r="P7" s="202">
        <f>O7/G7</f>
        <v>-0.12170534141115785</v>
      </c>
      <c r="Q7" s="90">
        <f>C7-'Aramex Express+SNS'!C7-'Aramex Domestic'!C7</f>
        <v>-8.4025668911635876E-7</v>
      </c>
      <c r="R7" s="90">
        <f>D7-'Aramex Express+SNS'!D7-'Aramex Domestic'!D7</f>
        <v>4.9476511776447296E-10</v>
      </c>
      <c r="S7" s="90">
        <f>E7-'Aramex Express+SNS'!E7-'Aramex Domestic'!E7</f>
        <v>-5.0931703299283981E-10</v>
      </c>
      <c r="T7" s="90">
        <f>F7-'Aramex Express+SNS'!F7-'Aramex Domestic'!F7</f>
        <v>-8.440110832452774E-10</v>
      </c>
      <c r="U7" s="90">
        <f>H7-'Aramex Express+SNS'!H7-'Aramex Domestic'!H7</f>
        <v>0</v>
      </c>
      <c r="V7" s="90">
        <f>I7-'Aramex Express+SNS'!I7-'Aramex Domestic'!I7</f>
        <v>0</v>
      </c>
      <c r="W7" s="90">
        <f>J7-'Aramex Express+SNS'!J7-'Aramex Domestic'!J7</f>
        <v>0</v>
      </c>
      <c r="X7" s="90">
        <f>M7-'Aramex Express+SNS'!M7-'Aramex Domestic'!M7</f>
        <v>8.5856299847364426E-10</v>
      </c>
      <c r="Y7" s="90">
        <f>N7-'Aramex Express+SNS'!N7-'Aramex Domestic'!N7</f>
        <v>9.8056285019091874E-2</v>
      </c>
      <c r="Z7" s="90">
        <f>O7-'Aramex Express+SNS'!O7-'Aramex Domestic'!O7</f>
        <v>8.411589078605175E-7</v>
      </c>
      <c r="AA7" s="90">
        <f>P7-'Aramex Express+SNS'!P7-'Aramex Domestic'!P7</f>
        <v>9.9707479817143355E-2</v>
      </c>
      <c r="AD7" s="2"/>
    </row>
    <row r="8" spans="1:30" ht="15" x14ac:dyDescent="0.25">
      <c r="B8" s="197" t="s">
        <v>178</v>
      </c>
      <c r="C8" s="203">
        <f>717028.001907232*('2022 IR Data Book'!$A$5)</f>
        <v>195237.16220313456</v>
      </c>
      <c r="D8" s="203">
        <f>775480.325927456*('2022 IR Data Book'!$A$5)</f>
        <v>211152.95047853183</v>
      </c>
      <c r="E8" s="203">
        <f>747513.363608859*(('2022 IR Data Book'!$A$5))</f>
        <v>203537.91962338914</v>
      </c>
      <c r="F8" s="203">
        <f>827660.140224345*(('2022 IR Data Book'!$A$5))</f>
        <v>225360.81801022301</v>
      </c>
      <c r="G8" s="203">
        <f>C8+D8+E8+F8</f>
        <v>835288.85031527851</v>
      </c>
      <c r="H8" s="203">
        <f>653884.911303184*('2022 IR Data Book'!$A$5)</f>
        <v>178044.14074584327</v>
      </c>
      <c r="I8" s="203">
        <f>669113.309220393*('2022 IR Data Book'!$A$5)</f>
        <v>182190.63040363582</v>
      </c>
      <c r="J8" s="203">
        <f>643262.5889205*(('2022 IR Data Book'!$A$5))</f>
        <v>175151.82402671131</v>
      </c>
      <c r="K8" s="203">
        <f>698198.881418526*(('2022 IR Data Book'!$A$5))</f>
        <v>190110.24381052281</v>
      </c>
      <c r="L8" s="203">
        <f>SUM(H8:K8)</f>
        <v>725496.83898671321</v>
      </c>
      <c r="M8" s="204">
        <f>(K8-F8)</f>
        <v>-35250.574199700204</v>
      </c>
      <c r="N8" s="205">
        <f>M8/F8</f>
        <v>-0.15641838058158422</v>
      </c>
      <c r="O8" s="204">
        <f>L8-G8</f>
        <v>-109792.01132856531</v>
      </c>
      <c r="P8" s="205">
        <f>O8/G8</f>
        <v>-0.13144196919080683</v>
      </c>
      <c r="Q8" s="90">
        <f>C8-'Aramex Express+SNS'!C8-'Aramex Domestic'!C8</f>
        <v>-1.2393124052323401E-5</v>
      </c>
      <c r="R8" s="90">
        <f>D8-'Aramex Express+SNS'!D8-'Aramex Domestic'!D8</f>
        <v>2.4643581127747893E-5</v>
      </c>
      <c r="S8" s="90">
        <f>E8-'Aramex Express+SNS'!E8-'Aramex Domestic'!E8</f>
        <v>-0.98040768093778752</v>
      </c>
      <c r="T8" s="90">
        <f>F8-'Aramex Express+SNS'!F8-'Aramex Domestic'!F8</f>
        <v>0.96263361898309086</v>
      </c>
      <c r="U8" s="90">
        <f>H8-'Aramex Express+SNS'!H8-'Aramex Domestic'!H8</f>
        <v>2.7648638933897018E-10</v>
      </c>
      <c r="V8" s="90">
        <f>I8-'Aramex Express+SNS'!I8-'Aramex Domestic'!I8</f>
        <v>0</v>
      </c>
      <c r="W8" s="90">
        <f>J8-'Aramex Express+SNS'!J8-'Aramex Domestic'!J8</f>
        <v>3.2199997367570177E-3</v>
      </c>
      <c r="X8" s="90">
        <f>M8-'Aramex Express+SNS'!M8-'Aramex Domestic'!M8</f>
        <v>-0.96263361895398702</v>
      </c>
      <c r="Y8" s="90">
        <f>N8-'Aramex Express+SNS'!N8-'Aramex Domestic'!N8</f>
        <v>0.15760823445719896</v>
      </c>
      <c r="Z8" s="90">
        <f>O8-'Aramex Express+SNS'!O8-'Aramex Domestic'!O8</f>
        <v>2.0981811627279967E-2</v>
      </c>
      <c r="AA8" s="90">
        <f>P8-'Aramex Express+SNS'!P8-'Aramex Domestic'!P8</f>
        <v>0.11290446893526357</v>
      </c>
    </row>
    <row r="9" spans="1:30" ht="15" x14ac:dyDescent="0.25">
      <c r="B9" s="199"/>
      <c r="C9" s="203"/>
      <c r="D9" s="203"/>
      <c r="E9" s="203"/>
      <c r="F9" s="203"/>
      <c r="G9" s="203"/>
      <c r="H9" s="203"/>
      <c r="I9" s="203"/>
      <c r="J9" s="203"/>
      <c r="K9" s="203"/>
      <c r="L9" s="203"/>
      <c r="M9" s="203"/>
      <c r="N9" s="205"/>
      <c r="O9" s="203"/>
      <c r="P9" s="205"/>
      <c r="Q9" s="90">
        <f>C9-'Aramex Express+SNS'!C9-'Aramex Domestic'!C9</f>
        <v>0</v>
      </c>
      <c r="R9" s="90">
        <f>D9-'Aramex Express+SNS'!D9-'Aramex Domestic'!D9</f>
        <v>0</v>
      </c>
      <c r="S9" s="90">
        <f>E9-'Aramex Express+SNS'!E9-'Aramex Domestic'!E9</f>
        <v>0</v>
      </c>
      <c r="T9" s="90">
        <f>F9-'Aramex Express+SNS'!F9-'Aramex Domestic'!F9</f>
        <v>0</v>
      </c>
      <c r="U9" s="90">
        <f>H9-'Aramex Express+SNS'!H9-'Aramex Domestic'!H9</f>
        <v>0</v>
      </c>
      <c r="V9" s="90">
        <f>I9-'Aramex Express+SNS'!I9-'Aramex Domestic'!I9</f>
        <v>0</v>
      </c>
      <c r="W9" s="90">
        <f>J9-'Aramex Express+SNS'!J9-'Aramex Domestic'!J9</f>
        <v>0</v>
      </c>
      <c r="X9" s="90">
        <f>M9-'Aramex Express+SNS'!M9-'Aramex Domestic'!M9</f>
        <v>0</v>
      </c>
      <c r="Y9" s="90">
        <f>N9-'Aramex Express+SNS'!N9-'Aramex Domestic'!N9</f>
        <v>0</v>
      </c>
      <c r="Z9" s="90">
        <f>O9-'Aramex Express+SNS'!O9-'Aramex Domestic'!O9</f>
        <v>0</v>
      </c>
      <c r="AA9" s="90">
        <f>P9-'Aramex Express+SNS'!P9-'Aramex Domestic'!P9</f>
        <v>0</v>
      </c>
      <c r="AD9" s="2"/>
    </row>
    <row r="10" spans="1:30" ht="15" x14ac:dyDescent="0.25">
      <c r="B10" s="196" t="s">
        <v>179</v>
      </c>
      <c r="C10" s="200">
        <f t="shared" ref="C10:I10" si="0">C7-C8</f>
        <v>77632.834008042817</v>
      </c>
      <c r="D10" s="200">
        <f t="shared" si="0"/>
        <v>88575.219637157279</v>
      </c>
      <c r="E10" s="200">
        <f t="shared" si="0"/>
        <v>87713.988392019586</v>
      </c>
      <c r="F10" s="200">
        <f t="shared" ref="F10:G10" si="1">F7-F8</f>
        <v>73379.523091181967</v>
      </c>
      <c r="G10" s="200">
        <f t="shared" si="1"/>
        <v>327301.56512840174</v>
      </c>
      <c r="H10" s="200">
        <f t="shared" si="0"/>
        <v>70034.037840187055</v>
      </c>
      <c r="I10" s="200">
        <f t="shared" si="0"/>
        <v>72714.096954299981</v>
      </c>
      <c r="J10" s="200">
        <f t="shared" ref="J10:L10" si="2">J7-J8</f>
        <v>73455.523773274501</v>
      </c>
      <c r="K10" s="200">
        <f t="shared" si="2"/>
        <v>79396.454456292529</v>
      </c>
      <c r="L10" s="200">
        <f t="shared" si="2"/>
        <v>295600.1130240541</v>
      </c>
      <c r="M10" s="201">
        <f>(K10-F10)</f>
        <v>6016.9313651105622</v>
      </c>
      <c r="N10" s="202">
        <f>M10/F10</f>
        <v>8.1997417149112239E-2</v>
      </c>
      <c r="O10" s="201">
        <f>L10-G10</f>
        <v>-31701.452104347642</v>
      </c>
      <c r="P10" s="202">
        <f>O10/G10</f>
        <v>-9.685701347596988E-2</v>
      </c>
      <c r="Q10" s="90">
        <f>C10-'Aramex Express+SNS'!C10-'Aramex Domestic'!C10</f>
        <v>1.1552867363207042E-5</v>
      </c>
      <c r="R10" s="90">
        <f>D10-'Aramex Express+SNS'!D10-'Aramex Domestic'!D10</f>
        <v>-2.4643086362630129E-5</v>
      </c>
      <c r="S10" s="90">
        <f>E10-'Aramex Express+SNS'!E10-'Aramex Domestic'!E10</f>
        <v>0.98040768042847048</v>
      </c>
      <c r="T10" s="90">
        <f>F10-'Aramex Express+SNS'!F10-'Aramex Domestic'!F10</f>
        <v>-0.96263361982710194</v>
      </c>
      <c r="U10" s="90">
        <f>H10-'Aramex Express+SNS'!H10-'Aramex Domestic'!H10</f>
        <v>-2.9103830456733704E-10</v>
      </c>
      <c r="V10" s="90">
        <f>I10-'Aramex Express+SNS'!I10-'Aramex Domestic'!I10</f>
        <v>2.9103830456733704E-11</v>
      </c>
      <c r="W10" s="90">
        <f>J10-'Aramex Express+SNS'!J10-'Aramex Domestic'!J10</f>
        <v>-3.2199997513089329E-3</v>
      </c>
      <c r="X10" s="90">
        <f>M10-'Aramex Express+SNS'!M10-'Aramex Domestic'!M10</f>
        <v>0.96263361981255002</v>
      </c>
      <c r="Y10" s="90">
        <f>N10-'Aramex Express+SNS'!N10-'Aramex Domestic'!N10</f>
        <v>-0.11797127422373621</v>
      </c>
      <c r="Z10" s="90">
        <f>O10-'Aramex Express+SNS'!O10-'Aramex Domestic'!O10</f>
        <v>-2.0980970468372107E-2</v>
      </c>
      <c r="AA10" s="90">
        <f>P10-'Aramex Express+SNS'!P10-'Aramex Domestic'!P10</f>
        <v>6.3285829454562376E-2</v>
      </c>
    </row>
    <row r="11" spans="1:30" ht="15" x14ac:dyDescent="0.25">
      <c r="B11" s="198" t="s">
        <v>180</v>
      </c>
      <c r="C11" s="206">
        <f t="shared" ref="C11:I11" si="3">C10/C7</f>
        <v>0.28450483778349095</v>
      </c>
      <c r="D11" s="206">
        <f t="shared" si="3"/>
        <v>0.2955185013239463</v>
      </c>
      <c r="E11" s="206">
        <f t="shared" si="3"/>
        <v>0.30116193569238031</v>
      </c>
      <c r="F11" s="206">
        <f t="shared" ref="F11:G11" si="4">F10/F7</f>
        <v>0.24562977608127551</v>
      </c>
      <c r="G11" s="206">
        <f t="shared" si="4"/>
        <v>0.28152783713040797</v>
      </c>
      <c r="H11" s="206">
        <f t="shared" si="3"/>
        <v>0.28230632069035511</v>
      </c>
      <c r="I11" s="206">
        <f t="shared" si="3"/>
        <v>0.28525989968085314</v>
      </c>
      <c r="J11" s="206">
        <f t="shared" ref="J11:L11" si="5">J10/J7</f>
        <v>0.29546803191180132</v>
      </c>
      <c r="K11" s="206">
        <f t="shared" si="5"/>
        <v>0.29459918794926926</v>
      </c>
      <c r="L11" s="206">
        <f t="shared" si="5"/>
        <v>0.28949269943657324</v>
      </c>
      <c r="M11" s="206"/>
      <c r="N11" s="206"/>
      <c r="O11" s="206"/>
      <c r="P11" s="206"/>
      <c r="Q11" s="90">
        <f>C11-'Aramex Express+SNS'!C11-'Aramex Domestic'!C11</f>
        <v>-0.26114697747255389</v>
      </c>
      <c r="R11" s="90">
        <f>D11-'Aramex Express+SNS'!D11-'Aramex Domestic'!D11</f>
        <v>-0.27053011946027639</v>
      </c>
      <c r="S11" s="90">
        <f>E11-'Aramex Express+SNS'!E11-'Aramex Domestic'!E11</f>
        <v>-0.29510918545104814</v>
      </c>
      <c r="T11" s="90">
        <f>F11-'Aramex Express+SNS'!F11-'Aramex Domestic'!F11</f>
        <v>-0.22888753161441774</v>
      </c>
      <c r="U11" s="90">
        <f>H11-'Aramex Express+SNS'!H11-'Aramex Domestic'!H11</f>
        <v>-0.26217911023222873</v>
      </c>
      <c r="V11" s="90">
        <f>I11-'Aramex Express+SNS'!I11-'Aramex Domestic'!I11</f>
        <v>-0.2605301252738752</v>
      </c>
      <c r="W11" s="90">
        <f>J11-'Aramex Express+SNS'!J11-'Aramex Domestic'!J11</f>
        <v>-0.29276048714348851</v>
      </c>
      <c r="X11" s="90">
        <f>M11-'Aramex Express+SNS'!M11-'Aramex Domestic'!M11</f>
        <v>0</v>
      </c>
      <c r="Y11" s="90">
        <f>N11-'Aramex Express+SNS'!N11-'Aramex Domestic'!N11</f>
        <v>0</v>
      </c>
      <c r="Z11" s="90">
        <f>O11-'Aramex Express+SNS'!O11-'Aramex Domestic'!O11</f>
        <v>0</v>
      </c>
      <c r="AA11" s="90">
        <f>P11-'Aramex Express+SNS'!P11-'Aramex Domestic'!P11</f>
        <v>0</v>
      </c>
    </row>
    <row r="12" spans="1:30" ht="15" x14ac:dyDescent="0.25">
      <c r="B12" s="79"/>
      <c r="C12" s="207"/>
      <c r="D12" s="207"/>
      <c r="E12" s="207"/>
      <c r="F12" s="207"/>
      <c r="G12" s="207"/>
      <c r="H12" s="207"/>
      <c r="I12" s="207"/>
      <c r="J12" s="207"/>
      <c r="K12" s="207"/>
      <c r="L12" s="207"/>
      <c r="M12" s="208"/>
      <c r="N12" s="205"/>
      <c r="O12" s="208"/>
      <c r="P12" s="205"/>
      <c r="Q12" s="90"/>
      <c r="R12" s="90"/>
      <c r="S12" s="90"/>
      <c r="T12" s="90"/>
      <c r="U12" s="90"/>
      <c r="V12" s="90"/>
      <c r="W12" s="90"/>
      <c r="X12" s="90"/>
      <c r="Y12" s="90"/>
      <c r="Z12" s="90"/>
      <c r="AA12" s="90"/>
    </row>
    <row r="13" spans="1:30" ht="15" x14ac:dyDescent="0.25">
      <c r="B13" s="80" t="s">
        <v>181</v>
      </c>
      <c r="C13" s="209">
        <f>67793.5305039601*('2022 IR Data Book'!$A$5)</f>
        <v>18459.274220976989</v>
      </c>
      <c r="D13" s="209">
        <f>104626.763731849*('2022 IR Data Book'!$A$5)</f>
        <v>28488.472398804388</v>
      </c>
      <c r="E13" s="209">
        <f>42423.4319606453*(('2022 IR Data Book'!$A$5))</f>
        <v>11551.334738508222</v>
      </c>
      <c r="F13" s="209">
        <f>37379.9776700221*(('2022 IR Data Book'!$A$5))</f>
        <v>10178.069397707917</v>
      </c>
      <c r="G13" s="209">
        <f>C13+D13+E13+F13</f>
        <v>68677.150755997514</v>
      </c>
      <c r="H13" s="209">
        <f>52446.6927776414*('2022 IR Data Book'!$A$5)</f>
        <v>14280.534982748299</v>
      </c>
      <c r="I13" s="209">
        <f>40108.639869565*('2022 IR Data Book'!$A$5)</f>
        <v>10921.047723565049</v>
      </c>
      <c r="J13" s="209">
        <f>20147.1087077667*(('2022 IR Data Book'!$A$5))</f>
        <v>5485.7890071793008</v>
      </c>
      <c r="K13" s="209">
        <f>31705.2536676977*(('2022 IR Data Book'!$A$5))</f>
        <v>8632.9177334035012</v>
      </c>
      <c r="L13" s="209">
        <f>SUM(H13:K13)</f>
        <v>39320.289446896146</v>
      </c>
      <c r="M13" s="209">
        <f>(K13-F13)</f>
        <v>-1545.151664304416</v>
      </c>
      <c r="N13" s="210">
        <f>M13/F13</f>
        <v>-0.15181186175173667</v>
      </c>
      <c r="O13" s="209">
        <f>L13-G13</f>
        <v>-29356.861309101369</v>
      </c>
      <c r="P13" s="210">
        <f>O13/G13</f>
        <v>-0.42746184117921726</v>
      </c>
      <c r="Q13" s="90" t="e">
        <f>C13-'Aramex Express+SNS'!#REF!-'Aramex Domestic'!#REF!</f>
        <v>#REF!</v>
      </c>
      <c r="R13" s="90" t="e">
        <f>D13-'Aramex Express+SNS'!#REF!-'Aramex Domestic'!#REF!</f>
        <v>#REF!</v>
      </c>
      <c r="S13" s="90" t="e">
        <f>E13-'Aramex Express+SNS'!#REF!-'Aramex Domestic'!#REF!</f>
        <v>#REF!</v>
      </c>
      <c r="T13" s="90" t="e">
        <f>F13-'Aramex Express+SNS'!#REF!-'Aramex Domestic'!#REF!</f>
        <v>#REF!</v>
      </c>
      <c r="U13" s="90" t="e">
        <f>H13-'Aramex Express+SNS'!#REF!-'Aramex Domestic'!#REF!</f>
        <v>#REF!</v>
      </c>
      <c r="V13" s="90" t="e">
        <f>I13-'Aramex Express+SNS'!#REF!-'Aramex Domestic'!#REF!</f>
        <v>#REF!</v>
      </c>
      <c r="W13" s="90" t="e">
        <f>J13-'Aramex Express+SNS'!#REF!-'Aramex Domestic'!#REF!</f>
        <v>#REF!</v>
      </c>
      <c r="X13" s="90" t="e">
        <f>M13-'Aramex Express+SNS'!#REF!-'Aramex Domestic'!#REF!</f>
        <v>#REF!</v>
      </c>
      <c r="Y13" s="90" t="e">
        <f>N13-'Aramex Express+SNS'!#REF!-'Aramex Domestic'!#REF!</f>
        <v>#REF!</v>
      </c>
      <c r="Z13" s="90" t="e">
        <f>O13-'Aramex Express+SNS'!#REF!-'Aramex Domestic'!#REF!</f>
        <v>#REF!</v>
      </c>
      <c r="AA13" s="90" t="e">
        <f>P13-'Aramex Express+SNS'!#REF!-'Aramex Domestic'!#REF!</f>
        <v>#REF!</v>
      </c>
    </row>
    <row r="14" spans="1:30" ht="15" x14ac:dyDescent="0.25">
      <c r="B14" s="70" t="s">
        <v>182</v>
      </c>
      <c r="C14" s="206">
        <f t="shared" ref="C14:I14" si="6">C13/C7</f>
        <v>6.7648603647471509E-2</v>
      </c>
      <c r="D14" s="206">
        <f t="shared" si="6"/>
        <v>9.5047697344591953E-2</v>
      </c>
      <c r="E14" s="206">
        <f t="shared" si="6"/>
        <v>3.9660975329634911E-2</v>
      </c>
      <c r="F14" s="206">
        <f t="shared" ref="F14:G14" si="7">F13/F7</f>
        <v>3.4069953057505063E-2</v>
      </c>
      <c r="G14" s="206">
        <f t="shared" si="7"/>
        <v>5.9072524462356078E-2</v>
      </c>
      <c r="H14" s="206">
        <f t="shared" si="6"/>
        <v>5.7564655884459394E-2</v>
      </c>
      <c r="I14" s="206">
        <f t="shared" si="6"/>
        <v>4.2843645297443909E-2</v>
      </c>
      <c r="J14" s="206">
        <f t="shared" ref="J14:L14" si="8">J13/J7</f>
        <v>2.2066077514301102E-2</v>
      </c>
      <c r="K14" s="206">
        <f t="shared" si="8"/>
        <v>3.2032293775707175E-2</v>
      </c>
      <c r="L14" s="206">
        <f t="shared" si="8"/>
        <v>3.8507890332515185E-2</v>
      </c>
      <c r="M14" s="206"/>
      <c r="N14" s="206"/>
      <c r="O14" s="206"/>
      <c r="P14" s="206"/>
      <c r="Q14" s="90" t="e">
        <f>C14-'Aramex Express+SNS'!#REF!-'Aramex Domestic'!#REF!</f>
        <v>#REF!</v>
      </c>
      <c r="R14" s="90" t="e">
        <f>D14-'Aramex Express+SNS'!#REF!-'Aramex Domestic'!#REF!</f>
        <v>#REF!</v>
      </c>
      <c r="S14" s="90" t="e">
        <f>E14-'Aramex Express+SNS'!#REF!-'Aramex Domestic'!#REF!</f>
        <v>#REF!</v>
      </c>
      <c r="T14" s="90" t="e">
        <f>F14-'Aramex Express+SNS'!#REF!-'Aramex Domestic'!#REF!</f>
        <v>#REF!</v>
      </c>
      <c r="U14" s="90" t="e">
        <f>H14-'Aramex Express+SNS'!#REF!-'Aramex Domestic'!#REF!</f>
        <v>#REF!</v>
      </c>
      <c r="V14" s="90" t="e">
        <f>I14-'Aramex Express+SNS'!#REF!-'Aramex Domestic'!#REF!</f>
        <v>#REF!</v>
      </c>
      <c r="W14" s="90" t="e">
        <f>J14-'Aramex Express+SNS'!#REF!-'Aramex Domestic'!#REF!</f>
        <v>#REF!</v>
      </c>
      <c r="X14" s="90" t="e">
        <f>M14-'Aramex Express+SNS'!#REF!-'Aramex Domestic'!#REF!</f>
        <v>#REF!</v>
      </c>
      <c r="Y14" s="90" t="e">
        <f>N14-'Aramex Express+SNS'!#REF!-'Aramex Domestic'!#REF!</f>
        <v>#REF!</v>
      </c>
      <c r="Z14" s="90" t="e">
        <f>O14-'Aramex Express+SNS'!#REF!-'Aramex Domestic'!#REF!</f>
        <v>#REF!</v>
      </c>
      <c r="AA14" s="90" t="e">
        <f>P14-'Aramex Express+SNS'!#REF!-'Aramex Domestic'!#REF!</f>
        <v>#REF!</v>
      </c>
    </row>
    <row r="15" spans="1:30" ht="15" x14ac:dyDescent="0.25">
      <c r="B15" s="80" t="s">
        <v>183</v>
      </c>
      <c r="C15" s="209">
        <f>126971.790482873*('2022 IR Data Book'!$A$5)</f>
        <v>34572.725176407177</v>
      </c>
      <c r="D15" s="209">
        <f>164433.595675243*('2022 IR Data Book'!$A$5)</f>
        <v>44773.075117149434</v>
      </c>
      <c r="E15" s="209">
        <f>113372.50878968*(('2022 IR Data Book'!$A$5))</f>
        <v>30869.822139541466</v>
      </c>
      <c r="F15" s="209">
        <f>97527.4515491813*(('2022 IR Data Book'!$A$5))</f>
        <v>26555.424372156322</v>
      </c>
      <c r="G15" s="209">
        <f>C15+D15+E15+F15</f>
        <v>136771.04680525442</v>
      </c>
      <c r="H15" s="209">
        <f>111870.829071796*('2022 IR Data Book'!$A$5)</f>
        <v>30460.934779664542</v>
      </c>
      <c r="I15" s="209">
        <f>98398.969368273*('2022 IR Data Book'!$A$5)</f>
        <v>26792.727051209768</v>
      </c>
      <c r="J15" s="209">
        <f>89569.4117087153*(('2022 IR Data Book'!$A$5))</f>
        <v>24388.556256797718</v>
      </c>
      <c r="K15" s="209">
        <f>94595.8858675843*(('2022 IR Data Book'!$A$5))</f>
        <v>25757.19813417859</v>
      </c>
      <c r="L15" s="209">
        <f>SUM(H15:K15)</f>
        <v>107399.41622185061</v>
      </c>
      <c r="M15" s="209">
        <f>(K15-F15)</f>
        <v>-798.22623797773122</v>
      </c>
      <c r="N15" s="210">
        <f>M15/F15</f>
        <v>-3.0058877116446347E-2</v>
      </c>
      <c r="O15" s="209">
        <f>L15-G15</f>
        <v>-29371.630583403807</v>
      </c>
      <c r="P15" s="210">
        <f>O15/G15</f>
        <v>-0.2147503530131307</v>
      </c>
      <c r="Q15" s="90" t="e">
        <f>C15-'Aramex Express+SNS'!#REF!-'Aramex Domestic'!#REF!</f>
        <v>#REF!</v>
      </c>
      <c r="R15" s="90" t="e">
        <f>D15-'Aramex Express+SNS'!#REF!-'Aramex Domestic'!#REF!</f>
        <v>#REF!</v>
      </c>
      <c r="S15" s="90" t="e">
        <f>E15-'Aramex Express+SNS'!#REF!-'Aramex Domestic'!#REF!</f>
        <v>#REF!</v>
      </c>
      <c r="T15" s="90" t="e">
        <f>F15-'Aramex Express+SNS'!#REF!-'Aramex Domestic'!#REF!</f>
        <v>#REF!</v>
      </c>
      <c r="U15" s="90" t="e">
        <f>H15-'Aramex Express+SNS'!#REF!-'Aramex Domestic'!#REF!</f>
        <v>#REF!</v>
      </c>
      <c r="V15" s="90" t="e">
        <f>I15-'Aramex Express+SNS'!#REF!-'Aramex Domestic'!#REF!</f>
        <v>#REF!</v>
      </c>
      <c r="W15" s="90" t="e">
        <f>J15-'Aramex Express+SNS'!#REF!-'Aramex Domestic'!#REF!</f>
        <v>#REF!</v>
      </c>
      <c r="X15" s="90" t="e">
        <f>M15-'Aramex Express+SNS'!#REF!-'Aramex Domestic'!#REF!</f>
        <v>#REF!</v>
      </c>
      <c r="Y15" s="90" t="e">
        <f>N15-'Aramex Express+SNS'!#REF!-'Aramex Domestic'!#REF!</f>
        <v>#REF!</v>
      </c>
      <c r="Z15" s="90" t="e">
        <f>O15-'Aramex Express+SNS'!#REF!-'Aramex Domestic'!#REF!</f>
        <v>#REF!</v>
      </c>
      <c r="AA15" s="90" t="e">
        <f>P15-'Aramex Express+SNS'!#REF!-'Aramex Domestic'!#REF!</f>
        <v>#REF!</v>
      </c>
    </row>
    <row r="16" spans="1:30" ht="15" x14ac:dyDescent="0.25">
      <c r="B16" s="70" t="s">
        <v>184</v>
      </c>
      <c r="C16" s="206">
        <f t="shared" ref="C16:I16" si="9">C15/C7</f>
        <v>0.12670035422161596</v>
      </c>
      <c r="D16" s="206">
        <f t="shared" si="9"/>
        <v>0.14937893592006357</v>
      </c>
      <c r="E16" s="206">
        <f t="shared" si="9"/>
        <v>0.10599011127476732</v>
      </c>
      <c r="F16" s="206">
        <f t="shared" ref="F16:G16" si="10">F15/F7</f>
        <v>8.8891323730337105E-2</v>
      </c>
      <c r="G16" s="206">
        <f t="shared" si="10"/>
        <v>0.11764336346524788</v>
      </c>
      <c r="H16" s="206">
        <f t="shared" si="9"/>
        <v>0.12278764280390378</v>
      </c>
      <c r="I16" s="206">
        <f t="shared" si="9"/>
        <v>0.10510878840464802</v>
      </c>
      <c r="J16" s="206">
        <f t="shared" ref="J16:L16" si="11">J15/J7</f>
        <v>9.8100705681552297E-2</v>
      </c>
      <c r="K16" s="206">
        <f t="shared" si="11"/>
        <v>9.5571643672761747E-2</v>
      </c>
      <c r="L16" s="206">
        <f t="shared" si="11"/>
        <v>0.10518042974308879</v>
      </c>
      <c r="M16" s="206"/>
      <c r="N16" s="206"/>
      <c r="O16" s="206"/>
      <c r="P16" s="206"/>
      <c r="Q16" s="90" t="e">
        <f>C16-'Aramex Express+SNS'!#REF!-'Aramex Domestic'!#REF!</f>
        <v>#REF!</v>
      </c>
      <c r="R16" s="90" t="e">
        <f>D16-'Aramex Express+SNS'!#REF!-'Aramex Domestic'!#REF!</f>
        <v>#REF!</v>
      </c>
      <c r="S16" s="90" t="e">
        <f>E16-'Aramex Express+SNS'!#REF!-'Aramex Domestic'!#REF!</f>
        <v>#REF!</v>
      </c>
      <c r="T16" s="90" t="e">
        <f>F16-'Aramex Express+SNS'!#REF!-'Aramex Domestic'!#REF!</f>
        <v>#REF!</v>
      </c>
      <c r="U16" s="90" t="e">
        <f>H16-'Aramex Express+SNS'!#REF!-'Aramex Domestic'!#REF!</f>
        <v>#REF!</v>
      </c>
      <c r="V16" s="90" t="e">
        <f>I16-'Aramex Express+SNS'!#REF!-'Aramex Domestic'!#REF!</f>
        <v>#REF!</v>
      </c>
      <c r="W16" s="90" t="e">
        <f>J16-'Aramex Express+SNS'!#REF!-'Aramex Domestic'!#REF!</f>
        <v>#REF!</v>
      </c>
      <c r="X16" s="90" t="e">
        <f>M16-'Aramex Express+SNS'!#REF!-'Aramex Domestic'!#REF!</f>
        <v>#REF!</v>
      </c>
      <c r="Y16" s="90" t="e">
        <f>N16-'Aramex Express+SNS'!#REF!-'Aramex Domestic'!#REF!</f>
        <v>#REF!</v>
      </c>
      <c r="Z16" s="90" t="e">
        <f>O16-'Aramex Express+SNS'!#REF!-'Aramex Domestic'!#REF!</f>
        <v>#REF!</v>
      </c>
      <c r="AA16" s="90" t="e">
        <f>P16-'Aramex Express+SNS'!#REF!-'Aramex Domestic'!#REF!</f>
        <v>#REF!</v>
      </c>
    </row>
    <row r="18" spans="2:14" x14ac:dyDescent="0.2">
      <c r="B18" s="194" t="s">
        <v>185</v>
      </c>
      <c r="C18" s="195"/>
      <c r="D18" s="195"/>
      <c r="E18" s="195"/>
      <c r="F18" s="195"/>
      <c r="G18" s="195"/>
      <c r="H18" s="195"/>
      <c r="I18" s="195"/>
      <c r="J18" s="195"/>
      <c r="K18" s="195"/>
      <c r="L18" s="195"/>
    </row>
    <row r="19" spans="2:14" x14ac:dyDescent="0.2">
      <c r="B19" s="78" t="s">
        <v>186</v>
      </c>
      <c r="C19" s="90">
        <v>25388838</v>
      </c>
      <c r="D19" s="90">
        <v>25800486</v>
      </c>
      <c r="E19" s="90">
        <v>27600108</v>
      </c>
      <c r="F19" s="90">
        <v>29436845</v>
      </c>
      <c r="G19" s="90">
        <f>C19+D19+E19+F19</f>
        <v>108226277</v>
      </c>
      <c r="H19" s="90">
        <f>'Historic Express Rev_Vol_ Data'!J27*1000000</f>
        <v>25008344</v>
      </c>
      <c r="I19" s="28">
        <v>24101160</v>
      </c>
      <c r="J19" s="28">
        <v>24481680</v>
      </c>
      <c r="K19" s="28">
        <v>26477337</v>
      </c>
      <c r="L19" s="28">
        <f>SUM(H19:K19)</f>
        <v>100068521</v>
      </c>
    </row>
    <row r="20" spans="2:14" x14ac:dyDescent="0.2">
      <c r="B20" s="78" t="s">
        <v>187</v>
      </c>
      <c r="C20" s="90">
        <v>6203827</v>
      </c>
      <c r="D20" s="90">
        <v>7200104</v>
      </c>
      <c r="E20" s="90">
        <v>6300214</v>
      </c>
      <c r="F20" s="90">
        <v>6052494</v>
      </c>
      <c r="G20" s="90">
        <f>C20+D20+E20+F20</f>
        <v>25756639</v>
      </c>
      <c r="H20" s="90">
        <f>'Historic Express Rev_Vol_ Data'!J26*1000000</f>
        <v>5339769</v>
      </c>
      <c r="I20" s="28">
        <v>5930134</v>
      </c>
      <c r="J20" s="28">
        <v>5123776</v>
      </c>
      <c r="K20" s="28">
        <v>5811173</v>
      </c>
      <c r="L20" s="28">
        <f>SUM(H20:K20)</f>
        <v>22204852</v>
      </c>
    </row>
    <row r="21" spans="2:14" ht="13.5" thickBot="1" x14ac:dyDescent="0.25">
      <c r="B21" s="91" t="s">
        <v>188</v>
      </c>
      <c r="C21" s="92">
        <f>SUM(C19:C20)</f>
        <v>31592665</v>
      </c>
      <c r="D21" s="92">
        <f t="shared" ref="D21:I21" si="12">SUM(D19:D20)</f>
        <v>33000590</v>
      </c>
      <c r="E21" s="92">
        <f t="shared" si="12"/>
        <v>33900322</v>
      </c>
      <c r="F21" s="92">
        <f t="shared" si="12"/>
        <v>35489339</v>
      </c>
      <c r="G21" s="92">
        <f t="shared" si="12"/>
        <v>133982916</v>
      </c>
      <c r="H21" s="92">
        <f t="shared" si="12"/>
        <v>30348113</v>
      </c>
      <c r="I21" s="92">
        <f t="shared" si="12"/>
        <v>30031294</v>
      </c>
      <c r="J21" s="92">
        <f t="shared" ref="J21:L21" si="13">SUM(J19:J20)</f>
        <v>29605456</v>
      </c>
      <c r="K21" s="92">
        <f t="shared" si="13"/>
        <v>32288510</v>
      </c>
      <c r="L21" s="92">
        <f t="shared" si="13"/>
        <v>122273373</v>
      </c>
    </row>
    <row r="22" spans="2:14" ht="13.5" thickTop="1" x14ac:dyDescent="0.2"/>
    <row r="23" spans="2:14" x14ac:dyDescent="0.2">
      <c r="B23" s="194" t="s">
        <v>189</v>
      </c>
      <c r="C23" s="195"/>
      <c r="D23" s="195"/>
      <c r="E23" s="195"/>
      <c r="F23" s="195"/>
      <c r="G23" s="195"/>
      <c r="H23" s="195"/>
      <c r="I23" s="195"/>
      <c r="J23" s="195"/>
      <c r="K23" s="195"/>
      <c r="L23" s="195"/>
    </row>
    <row r="24" spans="2:14" x14ac:dyDescent="0.2">
      <c r="B24" s="78" t="s">
        <v>190</v>
      </c>
      <c r="C24" s="139">
        <f t="shared" ref="C24:J24" si="14">C7*1000/C21</f>
        <v>8.637131315486597</v>
      </c>
      <c r="D24" s="139">
        <f t="shared" si="14"/>
        <v>9.0825094374279089</v>
      </c>
      <c r="E24" s="139">
        <f t="shared" si="14"/>
        <v>8.5914201055496981</v>
      </c>
      <c r="F24" s="139">
        <f t="shared" si="14"/>
        <v>8.4177488090551638</v>
      </c>
      <c r="G24" s="139">
        <f t="shared" ref="G24" si="15">G7*1000/G21</f>
        <v>8.6771541488444708</v>
      </c>
      <c r="H24" s="139">
        <f t="shared" si="14"/>
        <v>8.1744185737686674</v>
      </c>
      <c r="I24" s="139">
        <f t="shared" si="14"/>
        <v>8.4879701606576052</v>
      </c>
      <c r="J24" s="139">
        <f t="shared" si="14"/>
        <v>8.3973490494450012</v>
      </c>
      <c r="K24" s="139">
        <f t="shared" ref="K24:L24" si="16">K7*1000/K21</f>
        <v>8.3468298248143178</v>
      </c>
      <c r="L24" s="139">
        <f t="shared" si="16"/>
        <v>8.3509346880515629</v>
      </c>
      <c r="N24" s="139"/>
    </row>
    <row r="25" spans="2:14" x14ac:dyDescent="0.2">
      <c r="B25" s="78" t="s">
        <v>191</v>
      </c>
      <c r="C25" s="139">
        <f t="shared" ref="C25:J25" si="17">C8*1000/C21</f>
        <v>6.1798256716593727</v>
      </c>
      <c r="D25" s="139">
        <f t="shared" si="17"/>
        <v>6.3984598602186153</v>
      </c>
      <c r="E25" s="139">
        <f t="shared" si="17"/>
        <v>6.0040113962159163</v>
      </c>
      <c r="F25" s="139">
        <f t="shared" si="17"/>
        <v>6.3500990539785205</v>
      </c>
      <c r="G25" s="139">
        <f t="shared" ref="G25" si="18">G8*1000/G21</f>
        <v>6.2342937088731416</v>
      </c>
      <c r="H25" s="139">
        <f t="shared" si="17"/>
        <v>5.8667285424251343</v>
      </c>
      <c r="I25" s="139">
        <f t="shared" si="17"/>
        <v>6.0666926441343429</v>
      </c>
      <c r="J25" s="139">
        <f t="shared" si="17"/>
        <v>5.9162008525290508</v>
      </c>
      <c r="K25" s="139">
        <f t="shared" ref="K25:L25" si="19">K8*1000/K21</f>
        <v>5.8878605364732781</v>
      </c>
      <c r="L25" s="139">
        <f t="shared" si="19"/>
        <v>5.9334000623889978</v>
      </c>
      <c r="N25" s="139"/>
    </row>
    <row r="26" spans="2:14" x14ac:dyDescent="0.2">
      <c r="B26" s="58"/>
    </row>
    <row r="27" spans="2:14" x14ac:dyDescent="0.2">
      <c r="B27" s="58"/>
    </row>
  </sheetData>
  <pageMargins left="0.7" right="0.7" top="0.75" bottom="0.75" header="0.3" footer="0.3"/>
  <pageSetup orientation="portrait" horizontalDpi="1200" verticalDpi="1200" r:id="rId1"/>
  <ignoredErrors>
    <ignoredError sqref="G14 L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612B-3673-4AD2-803F-FCCED2D1761C}">
  <dimension ref="A1:T24"/>
  <sheetViews>
    <sheetView showGridLines="0" workbookViewId="0">
      <pane xSplit="2" ySplit="5" topLeftCell="C6" activePane="bottomRight" state="frozen"/>
      <selection pane="topRight" activeCell="P28" sqref="P28"/>
      <selection pane="bottomLeft" activeCell="P28" sqref="P28"/>
      <selection pane="bottomRight" activeCell="H31" sqref="H31"/>
    </sheetView>
  </sheetViews>
  <sheetFormatPr defaultColWidth="9.140625" defaultRowHeight="12.75" x14ac:dyDescent="0.2"/>
  <cols>
    <col min="1" max="1" width="6.28515625" style="20" customWidth="1"/>
    <col min="2" max="2" width="42.28515625" style="20" customWidth="1"/>
    <col min="3" max="3" width="14.7109375" style="20" customWidth="1"/>
    <col min="4" max="4" width="14.140625" style="20" customWidth="1"/>
    <col min="5" max="5" width="14" style="20" customWidth="1"/>
    <col min="6" max="7" width="14.140625" style="20" customWidth="1"/>
    <col min="8" max="8" width="13.85546875" style="20" customWidth="1"/>
    <col min="9" max="11" width="12.7109375" style="20" bestFit="1" customWidth="1"/>
    <col min="12" max="12" width="12.7109375" style="20" customWidth="1"/>
    <col min="13" max="13" width="13.140625" style="20" customWidth="1"/>
    <col min="14" max="14" width="9.140625" style="20"/>
    <col min="15" max="15" width="24.5703125" style="20" customWidth="1"/>
    <col min="16" max="16384" width="9.140625" style="20"/>
  </cols>
  <sheetData>
    <row r="1" spans="1:20" x14ac:dyDescent="0.2">
      <c r="A1" s="177">
        <f>'2022 IR Data Book'!$A$5</f>
        <v>0.27228666339922669</v>
      </c>
    </row>
    <row r="2" spans="1:20" x14ac:dyDescent="0.2">
      <c r="A2" s="177"/>
    </row>
    <row r="3" spans="1:20" ht="15" x14ac:dyDescent="0.25">
      <c r="B3" s="70"/>
      <c r="T3" s="71"/>
    </row>
    <row r="4" spans="1:20" ht="14.25" customHeight="1" x14ac:dyDescent="0.2">
      <c r="B4" s="72" t="s">
        <v>20</v>
      </c>
      <c r="C4" s="72"/>
      <c r="D4" s="73"/>
      <c r="E4" s="72"/>
      <c r="F4" s="72"/>
      <c r="G4" s="72"/>
      <c r="H4" s="72"/>
      <c r="I4" s="73"/>
      <c r="J4" s="73"/>
      <c r="K4" s="73"/>
      <c r="L4" s="73"/>
      <c r="M4" s="190" t="s">
        <v>21</v>
      </c>
      <c r="N4" s="190"/>
      <c r="O4" s="190" t="s">
        <v>21</v>
      </c>
      <c r="P4" s="190"/>
    </row>
    <row r="5" spans="1:20" x14ac:dyDescent="0.2">
      <c r="B5" s="74"/>
      <c r="C5" s="218" t="s">
        <v>22</v>
      </c>
      <c r="D5" s="218" t="s">
        <v>23</v>
      </c>
      <c r="E5" s="218" t="s">
        <v>24</v>
      </c>
      <c r="F5" s="218" t="s">
        <v>25</v>
      </c>
      <c r="G5" s="218">
        <v>2021</v>
      </c>
      <c r="H5" s="218" t="s">
        <v>27</v>
      </c>
      <c r="I5" s="218" t="s">
        <v>28</v>
      </c>
      <c r="J5" s="218" t="s">
        <v>275</v>
      </c>
      <c r="K5" s="218" t="s">
        <v>303</v>
      </c>
      <c r="L5" s="218">
        <v>2022</v>
      </c>
      <c r="M5" s="75" t="s">
        <v>304</v>
      </c>
      <c r="N5" s="75" t="s">
        <v>29</v>
      </c>
      <c r="O5" s="75" t="s">
        <v>305</v>
      </c>
      <c r="P5" s="75" t="s">
        <v>29</v>
      </c>
    </row>
    <row r="6" spans="1:20" x14ac:dyDescent="0.2">
      <c r="B6" s="76"/>
      <c r="C6" s="76"/>
      <c r="D6" s="77"/>
      <c r="E6" s="76"/>
      <c r="F6" s="76"/>
      <c r="G6" s="76"/>
      <c r="H6" s="76"/>
      <c r="I6" s="77"/>
      <c r="J6" s="77"/>
      <c r="K6" s="77"/>
      <c r="L6" s="77"/>
      <c r="M6" s="77"/>
      <c r="N6" s="77"/>
    </row>
    <row r="7" spans="1:20" ht="15" x14ac:dyDescent="0.25">
      <c r="B7" s="196" t="s">
        <v>175</v>
      </c>
      <c r="C7" s="200">
        <f>646524.483858966*((('2022 IR Data Book'!$A$5)))</f>
        <v>176039.99451586505</v>
      </c>
      <c r="D7" s="200">
        <f>733555.714494972*((('2022 IR Data Book'!$A$5)))</f>
        <v>199737.43791727169</v>
      </c>
      <c r="E7" s="200">
        <f>608876.826084214*((('2022 IR Data Book'!$A$5)))</f>
        <v>165789.03939558187</v>
      </c>
      <c r="F7" s="200">
        <f>673196.558903118*((('2022 IR Data Book'!$A$5)))</f>
        <v>183302.44483557099</v>
      </c>
      <c r="G7" s="200">
        <f>C7+D7+E7+F7</f>
        <v>724868.91666428966</v>
      </c>
      <c r="H7" s="200">
        <f>557745.393561003*((('2022 IR Data Book'!$A$5)))</f>
        <v>151866.63223901406</v>
      </c>
      <c r="I7" s="200">
        <f>587090.845989309*((('2022 IR Data Book'!$A$5)))</f>
        <v>159857.00756665823</v>
      </c>
      <c r="J7" s="200">
        <f>496499.900127167*((('2022 IR Data Book'!$A$5)))</f>
        <v>135190.30118367559</v>
      </c>
      <c r="K7" s="200">
        <f>607548.927429633*((('2022 IR Data Book'!$A$5)))</f>
        <v>165427.47030159368</v>
      </c>
      <c r="L7" s="200">
        <f>H7+I7+J7+K7</f>
        <v>612341.41129094153</v>
      </c>
      <c r="M7" s="201">
        <f>(K7-F7)</f>
        <v>-17874.974533977307</v>
      </c>
      <c r="N7" s="202">
        <f>M7/F7</f>
        <v>-9.7516290903876451E-2</v>
      </c>
      <c r="O7" s="201">
        <f>L7-G7</f>
        <v>-112527.50537334813</v>
      </c>
      <c r="P7" s="202">
        <f>O7/(D7+C7+E7+F7)</f>
        <v>-0.15523842005969649</v>
      </c>
    </row>
    <row r="8" spans="1:20" ht="15" x14ac:dyDescent="0.25">
      <c r="B8" s="197" t="s">
        <v>178</v>
      </c>
      <c r="C8" s="203">
        <f>444124.447612567*((('2022 IR Data Book'!$A$5)))</f>
        <v>120929.16397445052</v>
      </c>
      <c r="D8" s="203">
        <f>498401.214070459*((('2022 IR Data Book'!$A$5)))</f>
        <v>135708.00361336899</v>
      </c>
      <c r="E8" s="203">
        <f>414055.145401605*((('2022 IR Data Book'!$A$5)))</f>
        <v>112741.69400468469</v>
      </c>
      <c r="F8" s="203">
        <f>488658.173014657*((('2022 IR Data Book'!$A$5)))</f>
        <v>133055.10347292299</v>
      </c>
      <c r="G8" s="203">
        <f>C8+D8+E8+F8</f>
        <v>502433.96506542718</v>
      </c>
      <c r="H8" s="203">
        <f>380884.080416334*((('2022 IR Data Book'!$A$5)))</f>
        <v>103709.65539844632</v>
      </c>
      <c r="I8" s="203">
        <f>398324.710264466*((('2022 IR Data Book'!$A$5)))</f>
        <v>108458.50630737515</v>
      </c>
      <c r="J8" s="203">
        <f>342797.531928598*((('2022 IR Data Book'!$A$5)))</f>
        <v>93339.196190327828</v>
      </c>
      <c r="K8" s="203">
        <f>413549.80810701*((('2022 IR Data Book'!$A$5)))</f>
        <v>112604.09739884821</v>
      </c>
      <c r="L8" s="203">
        <f>H8+I8+J8+K8</f>
        <v>418111.45529499749</v>
      </c>
      <c r="M8" s="204">
        <f>(K8-F8)</f>
        <v>-20451.006074074772</v>
      </c>
      <c r="N8" s="256">
        <f>M8/F8</f>
        <v>-0.15370328187551707</v>
      </c>
      <c r="O8" s="204">
        <f>L8-G8</f>
        <v>-84322.509770429693</v>
      </c>
      <c r="P8" s="256">
        <f>O8/(D8+C8+E8+F8)</f>
        <v>-0.16782804434698037</v>
      </c>
    </row>
    <row r="9" spans="1:20" ht="15" x14ac:dyDescent="0.25">
      <c r="B9" s="199"/>
      <c r="C9" s="203"/>
      <c r="D9" s="203"/>
      <c r="E9" s="203"/>
      <c r="F9" s="203"/>
      <c r="G9" s="203"/>
      <c r="H9" s="203"/>
      <c r="I9" s="203"/>
      <c r="J9" s="203"/>
      <c r="K9" s="203"/>
      <c r="L9" s="203"/>
      <c r="M9" s="203"/>
      <c r="N9" s="205"/>
      <c r="O9" s="203"/>
      <c r="P9" s="205"/>
    </row>
    <row r="10" spans="1:20" ht="15" x14ac:dyDescent="0.25">
      <c r="B10" s="196" t="s">
        <v>179</v>
      </c>
      <c r="C10" s="200">
        <f t="shared" ref="C10:E10" si="0">C7-C8</f>
        <v>55110.830541414529</v>
      </c>
      <c r="D10" s="200">
        <f t="shared" ref="D10" si="1">D7-D8</f>
        <v>64029.434303902701</v>
      </c>
      <c r="E10" s="200">
        <f t="shared" si="0"/>
        <v>53047.345390897186</v>
      </c>
      <c r="F10" s="200">
        <f t="shared" ref="F10:G10" si="2">F7-F8</f>
        <v>50247.341362648003</v>
      </c>
      <c r="G10" s="200">
        <f t="shared" si="2"/>
        <v>222434.95159886248</v>
      </c>
      <c r="H10" s="200">
        <f t="shared" ref="H10:I10" si="3">H7-H8</f>
        <v>48156.976840567731</v>
      </c>
      <c r="I10" s="200">
        <f t="shared" si="3"/>
        <v>51398.501259283075</v>
      </c>
      <c r="J10" s="200">
        <f t="shared" ref="J10:L10" si="4">J7-J8</f>
        <v>41851.104993347763</v>
      </c>
      <c r="K10" s="200">
        <f t="shared" si="4"/>
        <v>52823.372902745468</v>
      </c>
      <c r="L10" s="200">
        <f t="shared" si="4"/>
        <v>194229.95599594404</v>
      </c>
      <c r="M10" s="201">
        <f>(K10-F10)</f>
        <v>2576.031540097465</v>
      </c>
      <c r="N10" s="202">
        <f>M10/F10</f>
        <v>5.1267021701816656E-2</v>
      </c>
      <c r="O10" s="201">
        <f>L10-G10</f>
        <v>-28204.99560291844</v>
      </c>
      <c r="P10" s="202">
        <f>O10/(D10+C10+E10+F10)</f>
        <v>-0.12680109578184962</v>
      </c>
    </row>
    <row r="11" spans="1:20" ht="15" x14ac:dyDescent="0.25">
      <c r="B11" s="198" t="s">
        <v>180</v>
      </c>
      <c r="C11" s="206">
        <f t="shared" ref="C11:E11" si="5">C10/C7</f>
        <v>0.3130585790631108</v>
      </c>
      <c r="D11" s="206">
        <f t="shared" ref="D11" si="6">D10/D7</f>
        <v>0.32056801654992068</v>
      </c>
      <c r="E11" s="206">
        <f t="shared" si="5"/>
        <v>0.31996895322086566</v>
      </c>
      <c r="F11" s="206">
        <f t="shared" ref="F11:G11" si="7">F10/F7</f>
        <v>0.27412259235124609</v>
      </c>
      <c r="G11" s="206">
        <f t="shared" si="7"/>
        <v>0.30686231190939495</v>
      </c>
      <c r="H11" s="206">
        <f t="shared" ref="H11:I11" si="8">H10/H7</f>
        <v>0.31710044616500266</v>
      </c>
      <c r="I11" s="206">
        <f t="shared" si="8"/>
        <v>0.32152798330001636</v>
      </c>
      <c r="J11" s="206">
        <f t="shared" ref="J11:L11" si="9">J10/J7</f>
        <v>0.30957180083863395</v>
      </c>
      <c r="K11" s="206">
        <f t="shared" si="9"/>
        <v>0.31931439685586838</v>
      </c>
      <c r="L11" s="206">
        <f t="shared" si="9"/>
        <v>0.31719225976643878</v>
      </c>
      <c r="M11" s="206"/>
      <c r="N11" s="206"/>
      <c r="O11" s="206"/>
      <c r="P11" s="206"/>
    </row>
    <row r="13" spans="1:20" x14ac:dyDescent="0.2">
      <c r="B13" s="194" t="s">
        <v>185</v>
      </c>
      <c r="C13" s="195"/>
      <c r="D13" s="195"/>
      <c r="E13" s="195"/>
      <c r="F13" s="195"/>
      <c r="G13" s="195"/>
      <c r="H13" s="195"/>
      <c r="I13" s="195"/>
      <c r="J13" s="195"/>
      <c r="K13" s="195"/>
      <c r="L13" s="195"/>
    </row>
    <row r="14" spans="1:20" x14ac:dyDescent="0.2">
      <c r="B14" s="78"/>
      <c r="C14" s="90"/>
      <c r="D14" s="90"/>
      <c r="E14" s="90"/>
      <c r="F14" s="90"/>
      <c r="G14" s="90"/>
      <c r="H14" s="90"/>
      <c r="I14" s="28"/>
      <c r="J14" s="28"/>
      <c r="K14" s="28"/>
      <c r="L14" s="28"/>
    </row>
    <row r="15" spans="1:20" x14ac:dyDescent="0.2">
      <c r="B15" s="78" t="s">
        <v>187</v>
      </c>
      <c r="C15" s="90">
        <v>6203827</v>
      </c>
      <c r="D15" s="90">
        <v>7200104</v>
      </c>
      <c r="E15" s="90">
        <v>6300214</v>
      </c>
      <c r="F15" s="90">
        <v>6052494</v>
      </c>
      <c r="G15" s="90">
        <f>C15+D15+E15+F15</f>
        <v>25756639</v>
      </c>
      <c r="H15" s="90">
        <f>'Historic Express Rev_Vol_ Data'!J26*1000000</f>
        <v>5339769</v>
      </c>
      <c r="I15" s="28">
        <v>5930134</v>
      </c>
      <c r="J15" s="28">
        <v>5123776</v>
      </c>
      <c r="K15" s="28">
        <v>5811173</v>
      </c>
      <c r="L15" s="28">
        <f>H15+I15+J15+K15</f>
        <v>22204852</v>
      </c>
    </row>
    <row r="16" spans="1:20" ht="13.5" thickBot="1" x14ac:dyDescent="0.25">
      <c r="B16" s="91" t="s">
        <v>288</v>
      </c>
      <c r="C16" s="92">
        <f t="shared" ref="C16:J16" si="10">SUM(C14:C15)</f>
        <v>6203827</v>
      </c>
      <c r="D16" s="92">
        <f t="shared" si="10"/>
        <v>7200104</v>
      </c>
      <c r="E16" s="92">
        <f t="shared" si="10"/>
        <v>6300214</v>
      </c>
      <c r="F16" s="92">
        <f t="shared" si="10"/>
        <v>6052494</v>
      </c>
      <c r="G16" s="92">
        <f t="shared" si="10"/>
        <v>25756639</v>
      </c>
      <c r="H16" s="92">
        <f t="shared" si="10"/>
        <v>5339769</v>
      </c>
      <c r="I16" s="92">
        <f t="shared" si="10"/>
        <v>5930134</v>
      </c>
      <c r="J16" s="92">
        <f t="shared" si="10"/>
        <v>5123776</v>
      </c>
      <c r="K16" s="92">
        <f t="shared" ref="K16:L16" si="11">SUM(K14:K15)</f>
        <v>5811173</v>
      </c>
      <c r="L16" s="92">
        <f t="shared" si="11"/>
        <v>22204852</v>
      </c>
    </row>
    <row r="17" spans="2:14" ht="13.5" thickTop="1" x14ac:dyDescent="0.2"/>
    <row r="18" spans="2:14" x14ac:dyDescent="0.2">
      <c r="B18" s="194" t="s">
        <v>189</v>
      </c>
      <c r="C18" s="195"/>
      <c r="D18" s="195"/>
      <c r="E18" s="195"/>
      <c r="F18" s="195"/>
      <c r="G18" s="195"/>
      <c r="H18" s="195"/>
      <c r="I18" s="195"/>
      <c r="J18" s="195"/>
      <c r="K18" s="195"/>
      <c r="L18" s="195"/>
    </row>
    <row r="19" spans="2:14" x14ac:dyDescent="0.2">
      <c r="B19" s="78" t="s">
        <v>286</v>
      </c>
      <c r="C19" s="139">
        <f t="shared" ref="C19:J19" si="12">C7*1000/C16</f>
        <v>28.376032167864295</v>
      </c>
      <c r="D19" s="139">
        <f t="shared" si="12"/>
        <v>27.740910119808223</v>
      </c>
      <c r="E19" s="139">
        <f t="shared" si="12"/>
        <v>26.314826670265784</v>
      </c>
      <c r="F19" s="139">
        <f t="shared" si="12"/>
        <v>30.285440156664507</v>
      </c>
      <c r="G19" s="139">
        <f t="shared" ref="G19" si="13">G7*1000/G16</f>
        <v>28.142993216789261</v>
      </c>
      <c r="H19" s="139">
        <f t="shared" si="12"/>
        <v>28.440674538358131</v>
      </c>
      <c r="I19" s="139">
        <f t="shared" si="12"/>
        <v>26.956727717562238</v>
      </c>
      <c r="J19" s="139">
        <f t="shared" si="12"/>
        <v>26.38489683851823</v>
      </c>
      <c r="K19" s="139">
        <f t="shared" ref="K19:L19" si="14">K7*1000/K16</f>
        <v>28.467139130360376</v>
      </c>
      <c r="L19" s="139">
        <f t="shared" si="14"/>
        <v>27.576919282818974</v>
      </c>
      <c r="N19" s="139"/>
    </row>
    <row r="20" spans="2:14" x14ac:dyDescent="0.2">
      <c r="B20" s="78" t="s">
        <v>287</v>
      </c>
      <c r="C20" s="139">
        <f t="shared" ref="C20:J20" si="15">C8*1000/C16</f>
        <v>19.492671857943577</v>
      </c>
      <c r="D20" s="139">
        <f t="shared" si="15"/>
        <v>18.848061585411681</v>
      </c>
      <c r="E20" s="139">
        <f t="shared" si="15"/>
        <v>17.894899126392325</v>
      </c>
      <c r="F20" s="139">
        <f t="shared" si="15"/>
        <v>21.983516790421103</v>
      </c>
      <c r="G20" s="139">
        <f t="shared" ref="G20" si="16">G8*1000/G16</f>
        <v>19.506969254234885</v>
      </c>
      <c r="H20" s="139">
        <f t="shared" si="15"/>
        <v>19.422123953011138</v>
      </c>
      <c r="I20" s="139">
        <f t="shared" si="15"/>
        <v>18.289385418166798</v>
      </c>
      <c r="J20" s="139">
        <f t="shared" si="15"/>
        <v>18.216876809276563</v>
      </c>
      <c r="K20" s="139">
        <f t="shared" ref="K20:L20" si="17">K8*1000/K16</f>
        <v>19.377171768737263</v>
      </c>
      <c r="L20" s="139">
        <f t="shared" si="17"/>
        <v>18.829733938104948</v>
      </c>
      <c r="N20" s="139"/>
    </row>
    <row r="21" spans="2:14" x14ac:dyDescent="0.2">
      <c r="B21" s="78" t="s">
        <v>291</v>
      </c>
      <c r="C21" s="139">
        <f t="shared" ref="C21:J21" si="18">C10*1000/C16</f>
        <v>8.8833603099207199</v>
      </c>
      <c r="D21" s="139">
        <f t="shared" si="18"/>
        <v>8.8928485343965455</v>
      </c>
      <c r="E21" s="139">
        <f t="shared" si="18"/>
        <v>8.4199275438734595</v>
      </c>
      <c r="F21" s="139">
        <f t="shared" si="18"/>
        <v>8.301923366243404</v>
      </c>
      <c r="G21" s="139">
        <f t="shared" ref="G21" si="19">G10*1000/G16</f>
        <v>8.636023962554372</v>
      </c>
      <c r="H21" s="139">
        <f t="shared" si="18"/>
        <v>9.0185505853469934</v>
      </c>
      <c r="I21" s="139">
        <f t="shared" si="18"/>
        <v>8.6673422993954397</v>
      </c>
      <c r="J21" s="139">
        <f t="shared" si="18"/>
        <v>8.1680200292416689</v>
      </c>
      <c r="K21" s="139">
        <f t="shared" ref="K21:L21" si="20">K10*1000/K16</f>
        <v>9.0899673616231134</v>
      </c>
      <c r="L21" s="139">
        <f t="shared" si="20"/>
        <v>8.7471853447140298</v>
      </c>
    </row>
    <row r="24" spans="2:14" x14ac:dyDescent="0.2">
      <c r="E24" s="93"/>
      <c r="J24" s="93"/>
      <c r="K24" s="93"/>
      <c r="L24" s="93"/>
      <c r="M24" s="93"/>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95CB5-EFF0-4B5A-BFD5-0FFBD0D9E94D}">
  <dimension ref="A1:T27"/>
  <sheetViews>
    <sheetView showGridLines="0" workbookViewId="0">
      <pane xSplit="2" ySplit="5" topLeftCell="C6" activePane="bottomRight" state="frozen"/>
      <selection pane="topRight" activeCell="P28" sqref="P28"/>
      <selection pane="bottomLeft" activeCell="P28" sqref="P28"/>
      <selection pane="bottomRight" activeCell="H38" sqref="H38"/>
    </sheetView>
  </sheetViews>
  <sheetFormatPr defaultColWidth="9.140625" defaultRowHeight="12.75" x14ac:dyDescent="0.2"/>
  <cols>
    <col min="1" max="1" width="6.28515625" style="20" customWidth="1"/>
    <col min="2" max="2" width="35.85546875" style="20" customWidth="1"/>
    <col min="3" max="3" width="14.7109375" style="20" customWidth="1"/>
    <col min="4" max="4" width="14.140625" style="20" customWidth="1"/>
    <col min="5" max="5" width="14" style="20" customWidth="1"/>
    <col min="6" max="7" width="14.140625" style="20" customWidth="1"/>
    <col min="8" max="8" width="13.85546875" style="20" customWidth="1"/>
    <col min="9" max="11" width="12.7109375" style="20" bestFit="1" customWidth="1"/>
    <col min="12" max="12" width="12.7109375" style="20" customWidth="1"/>
    <col min="13" max="13" width="13.140625" style="20" customWidth="1"/>
    <col min="14" max="14" width="9.140625" style="20"/>
    <col min="15" max="15" width="25.28515625" style="20" bestFit="1" customWidth="1"/>
    <col min="16" max="16384" width="9.140625" style="20"/>
  </cols>
  <sheetData>
    <row r="1" spans="1:20" x14ac:dyDescent="0.2">
      <c r="A1" s="177">
        <f>'2022 IR Data Book'!$A$5</f>
        <v>0.27228666339922669</v>
      </c>
    </row>
    <row r="2" spans="1:20" x14ac:dyDescent="0.2">
      <c r="A2" s="177"/>
    </row>
    <row r="3" spans="1:20" ht="15" x14ac:dyDescent="0.25">
      <c r="B3" s="70"/>
      <c r="T3" s="71"/>
    </row>
    <row r="4" spans="1:20" ht="14.25" customHeight="1" x14ac:dyDescent="0.2">
      <c r="B4" s="72" t="s">
        <v>20</v>
      </c>
      <c r="C4" s="72"/>
      <c r="D4" s="73"/>
      <c r="E4" s="72"/>
      <c r="F4" s="72"/>
      <c r="G4" s="72"/>
      <c r="H4" s="72"/>
      <c r="I4" s="73"/>
      <c r="J4" s="73"/>
      <c r="K4" s="73"/>
      <c r="L4" s="73"/>
      <c r="M4" s="190" t="s">
        <v>21</v>
      </c>
      <c r="N4" s="190"/>
      <c r="O4" s="190" t="s">
        <v>21</v>
      </c>
      <c r="P4" s="190"/>
    </row>
    <row r="5" spans="1:20" x14ac:dyDescent="0.2">
      <c r="B5" s="74"/>
      <c r="C5" s="218" t="s">
        <v>22</v>
      </c>
      <c r="D5" s="218" t="s">
        <v>23</v>
      </c>
      <c r="E5" s="218" t="s">
        <v>24</v>
      </c>
      <c r="F5" s="218" t="s">
        <v>25</v>
      </c>
      <c r="G5" s="218">
        <v>2021</v>
      </c>
      <c r="H5" s="218" t="s">
        <v>27</v>
      </c>
      <c r="I5" s="218" t="s">
        <v>28</v>
      </c>
      <c r="J5" s="218" t="s">
        <v>275</v>
      </c>
      <c r="K5" s="218" t="s">
        <v>303</v>
      </c>
      <c r="L5" s="218">
        <v>2022</v>
      </c>
      <c r="M5" s="75" t="s">
        <v>304</v>
      </c>
      <c r="N5" s="75" t="s">
        <v>29</v>
      </c>
      <c r="O5" s="75" t="s">
        <v>305</v>
      </c>
      <c r="P5" s="75" t="s">
        <v>29</v>
      </c>
    </row>
    <row r="6" spans="1:20" x14ac:dyDescent="0.2">
      <c r="B6" s="76"/>
      <c r="C6" s="76"/>
      <c r="D6" s="77"/>
      <c r="E6" s="76"/>
      <c r="F6" s="76"/>
      <c r="G6" s="76"/>
      <c r="H6" s="76"/>
      <c r="I6" s="77"/>
      <c r="J6" s="77"/>
      <c r="K6" s="77"/>
      <c r="L6" s="77"/>
      <c r="M6" s="77"/>
      <c r="N6" s="77"/>
    </row>
    <row r="7" spans="1:20" ht="15" x14ac:dyDescent="0.25">
      <c r="B7" s="196" t="s">
        <v>175</v>
      </c>
      <c r="C7" s="200">
        <f>355617.86422929*(((('2022 IR Data Book'!$A$5))))</f>
        <v>96830.001696152583</v>
      </c>
      <c r="D7" s="200">
        <f>367225.963071906*(((('2022 IR Data Book'!$A$5))))</f>
        <v>99990.732198416925</v>
      </c>
      <c r="E7" s="200">
        <f>460774.931293178*(((('2022 IR Data Book'!$A$5))))</f>
        <v>125462.86861982736</v>
      </c>
      <c r="F7" s="200">
        <f>423957.217825905*(((('2022 IR Data Book'!$A$5))))</f>
        <v>115437.89626583483</v>
      </c>
      <c r="G7" s="200">
        <f>SUM(C7:F7)</f>
        <v>437721.49878023169</v>
      </c>
      <c r="H7" s="200">
        <f>353346.525114052*(((('2022 IR Data Book'!$A$5))))</f>
        <v>96211.546347016279</v>
      </c>
      <c r="I7" s="200">
        <f>349072.255705446*(((('2022 IR Data Book'!$A$5))))</f>
        <v>95047.719791277559</v>
      </c>
      <c r="J7" s="200">
        <f>416535.445403061*(((('2022 IR Data Book'!$A$5))))</f>
        <v>113417.04661631024</v>
      </c>
      <c r="K7" s="200">
        <f>382241.372625073*(((('2022 IR Data Book'!$A$5))))</f>
        <v>104079.22796522164</v>
      </c>
      <c r="L7" s="200">
        <f>SUM(H7:K7)</f>
        <v>408755.54071982572</v>
      </c>
      <c r="M7" s="201">
        <f>(K7-F7)</f>
        <v>-11358.668300613193</v>
      </c>
      <c r="N7" s="202">
        <f>M7/F7</f>
        <v>-9.8396355685970008E-2</v>
      </c>
      <c r="O7" s="201">
        <f>L7-G7</f>
        <v>-28965.958060405974</v>
      </c>
      <c r="P7" s="202">
        <f>O7/G7</f>
        <v>-6.6174401168604721E-2</v>
      </c>
    </row>
    <row r="8" spans="1:20" ht="15" x14ac:dyDescent="0.25">
      <c r="B8" s="197" t="s">
        <v>178</v>
      </c>
      <c r="C8" s="203">
        <f>272903.55434018*(((('2022 IR Data Book'!$A$5))))</f>
        <v>74307.998241077163</v>
      </c>
      <c r="D8" s="203">
        <f>277079.111766491*(((('2022 IR Data Book'!$A$5))))</f>
        <v>75444.94684051926</v>
      </c>
      <c r="E8" s="203">
        <f>333461.818852503*(((('2022 IR Data Book'!$A$5))))</f>
        <v>90797.206026385393</v>
      </c>
      <c r="F8" s="203">
        <f>338998.431841459*(((('2022 IR Data Book'!$A$5))))</f>
        <v>92304.751903681041</v>
      </c>
      <c r="G8" s="203">
        <f>SUM(C8:F8)</f>
        <v>332854.90301166289</v>
      </c>
      <c r="H8" s="203">
        <f>273000.830886849*(((('2022 IR Data Book'!$A$5))))</f>
        <v>74334.485347396665</v>
      </c>
      <c r="I8" s="203">
        <f>270788.598955927*(((('2022 IR Data Book'!$A$5))))</f>
        <v>73732.124096260683</v>
      </c>
      <c r="J8" s="203">
        <f>300465.045166131*(((('2022 IR Data Book'!$A$5))))</f>
        <v>81812.62461638375</v>
      </c>
      <c r="K8" s="203">
        <f>284649.073311516*(((('2022 IR Data Book'!$A$5))))</f>
        <v>77506.146411674563</v>
      </c>
      <c r="L8" s="203">
        <f>SUM(H8:K8)</f>
        <v>307385.38047171565</v>
      </c>
      <c r="M8" s="204">
        <f>(K8-F8)</f>
        <v>-14798.605492006478</v>
      </c>
      <c r="N8" s="205">
        <f>M8/F8</f>
        <v>-0.16032333316326611</v>
      </c>
      <c r="O8" s="204">
        <f>L8-G8</f>
        <v>-25469.52253994724</v>
      </c>
      <c r="P8" s="205">
        <f>O8/G8</f>
        <v>-7.6518393779090033E-2</v>
      </c>
    </row>
    <row r="9" spans="1:20" ht="15" x14ac:dyDescent="0.25">
      <c r="B9" s="199"/>
      <c r="C9" s="203"/>
      <c r="D9" s="203"/>
      <c r="E9" s="203"/>
      <c r="F9" s="203"/>
      <c r="G9" s="203"/>
      <c r="H9" s="203"/>
      <c r="I9" s="203"/>
      <c r="J9" s="203"/>
      <c r="K9" s="203"/>
      <c r="L9" s="203"/>
      <c r="M9" s="203"/>
      <c r="N9" s="205"/>
      <c r="O9" s="203"/>
      <c r="P9" s="205"/>
    </row>
    <row r="10" spans="1:20" ht="15" x14ac:dyDescent="0.25">
      <c r="B10" s="196" t="s">
        <v>179</v>
      </c>
      <c r="C10" s="200">
        <f t="shared" ref="C10:L10" si="0">(C7-C8)</f>
        <v>22522.003455075421</v>
      </c>
      <c r="D10" s="200">
        <f t="shared" si="0"/>
        <v>24545.785357897665</v>
      </c>
      <c r="E10" s="200">
        <f t="shared" si="0"/>
        <v>34665.662593441972</v>
      </c>
      <c r="F10" s="200">
        <f t="shared" si="0"/>
        <v>23133.144362153791</v>
      </c>
      <c r="G10" s="200">
        <f t="shared" si="0"/>
        <v>104866.5957685688</v>
      </c>
      <c r="H10" s="200">
        <f t="shared" si="0"/>
        <v>21877.060999619614</v>
      </c>
      <c r="I10" s="200">
        <f t="shared" si="0"/>
        <v>21315.595695016877</v>
      </c>
      <c r="J10" s="200">
        <f t="shared" si="0"/>
        <v>31604.42199992649</v>
      </c>
      <c r="K10" s="200">
        <f t="shared" si="0"/>
        <v>26573.081553547076</v>
      </c>
      <c r="L10" s="200">
        <f t="shared" si="0"/>
        <v>101370.16024811007</v>
      </c>
      <c r="M10" s="201">
        <f>(K10-F10)</f>
        <v>3439.9371913932846</v>
      </c>
      <c r="N10" s="202">
        <f>M10/F10</f>
        <v>0.14870166967103179</v>
      </c>
      <c r="O10" s="201">
        <f>L10-G10</f>
        <v>-3496.4355204587337</v>
      </c>
      <c r="P10" s="202">
        <f>O10/G10</f>
        <v>-3.3341747148682641E-2</v>
      </c>
    </row>
    <row r="11" spans="1:20" ht="15" x14ac:dyDescent="0.25">
      <c r="B11" s="198" t="s">
        <v>180</v>
      </c>
      <c r="C11" s="206">
        <f t="shared" ref="C11:E11" si="1">C10/C7</f>
        <v>0.23259323619293404</v>
      </c>
      <c r="D11" s="206">
        <f t="shared" si="1"/>
        <v>0.24548060423430201</v>
      </c>
      <c r="E11" s="206">
        <f t="shared" si="1"/>
        <v>0.27630216792256279</v>
      </c>
      <c r="F11" s="206">
        <f t="shared" ref="F11:G11" si="2">F10/F7</f>
        <v>0.20039471534444717</v>
      </c>
      <c r="G11" s="206">
        <f t="shared" si="2"/>
        <v>0.23957378392606557</v>
      </c>
      <c r="H11" s="206">
        <f t="shared" ref="H11:J11" si="3">H10/H7</f>
        <v>0.2273849847575812</v>
      </c>
      <c r="I11" s="206">
        <f t="shared" si="3"/>
        <v>0.22426204165471195</v>
      </c>
      <c r="J11" s="206">
        <f t="shared" si="3"/>
        <v>0.27865671821665589</v>
      </c>
      <c r="K11" s="206">
        <f t="shared" ref="K11:L11" si="4">K10/K7</f>
        <v>0.25531589802363391</v>
      </c>
      <c r="L11" s="206">
        <f t="shared" si="4"/>
        <v>0.24799703037565052</v>
      </c>
      <c r="M11" s="206"/>
      <c r="N11" s="206"/>
      <c r="O11" s="206"/>
      <c r="P11" s="206"/>
    </row>
    <row r="13" spans="1:20" x14ac:dyDescent="0.2">
      <c r="B13" s="194" t="s">
        <v>185</v>
      </c>
      <c r="C13" s="195"/>
      <c r="D13" s="195"/>
      <c r="E13" s="195"/>
      <c r="F13" s="195"/>
      <c r="G13" s="195"/>
      <c r="H13" s="195"/>
      <c r="I13" s="195"/>
      <c r="J13" s="195"/>
      <c r="K13" s="195"/>
      <c r="L13" s="195"/>
    </row>
    <row r="14" spans="1:20" x14ac:dyDescent="0.2">
      <c r="B14" s="78"/>
      <c r="C14" s="90"/>
      <c r="D14" s="90"/>
      <c r="E14" s="90"/>
      <c r="F14" s="90"/>
      <c r="G14" s="90"/>
      <c r="H14" s="90"/>
      <c r="I14" s="28"/>
      <c r="J14" s="28"/>
      <c r="K14" s="28"/>
      <c r="L14" s="28"/>
    </row>
    <row r="15" spans="1:20" x14ac:dyDescent="0.2">
      <c r="B15" s="78" t="s">
        <v>186</v>
      </c>
      <c r="C15" s="90">
        <v>25388838</v>
      </c>
      <c r="D15" s="90">
        <v>25800486</v>
      </c>
      <c r="E15" s="90">
        <v>27600108</v>
      </c>
      <c r="F15" s="90">
        <v>29436845</v>
      </c>
      <c r="G15" s="90">
        <f>SUM(C15:F15)</f>
        <v>108226277</v>
      </c>
      <c r="H15" s="90">
        <v>25008344</v>
      </c>
      <c r="I15" s="28">
        <v>24101160</v>
      </c>
      <c r="J15" s="28">
        <v>24481680</v>
      </c>
      <c r="K15" s="28">
        <v>26477337</v>
      </c>
      <c r="L15" s="28">
        <f>SUM(H15:K15)</f>
        <v>100068521</v>
      </c>
    </row>
    <row r="16" spans="1:20" ht="13.5" thickBot="1" x14ac:dyDescent="0.25">
      <c r="B16" s="91" t="s">
        <v>288</v>
      </c>
      <c r="C16" s="92">
        <f t="shared" ref="C16:J16" si="5">SUM(C14:C15)</f>
        <v>25388838</v>
      </c>
      <c r="D16" s="92">
        <f t="shared" si="5"/>
        <v>25800486</v>
      </c>
      <c r="E16" s="92">
        <f t="shared" si="5"/>
        <v>27600108</v>
      </c>
      <c r="F16" s="92">
        <f t="shared" si="5"/>
        <v>29436845</v>
      </c>
      <c r="G16" s="92">
        <f t="shared" si="5"/>
        <v>108226277</v>
      </c>
      <c r="H16" s="92">
        <f t="shared" si="5"/>
        <v>25008344</v>
      </c>
      <c r="I16" s="92">
        <f t="shared" si="5"/>
        <v>24101160</v>
      </c>
      <c r="J16" s="92">
        <f t="shared" si="5"/>
        <v>24481680</v>
      </c>
      <c r="K16" s="92">
        <f t="shared" ref="K16:L16" si="6">SUM(K14:K15)</f>
        <v>26477337</v>
      </c>
      <c r="L16" s="92">
        <f t="shared" si="6"/>
        <v>100068521</v>
      </c>
    </row>
    <row r="17" spans="2:14" ht="13.5" thickTop="1" x14ac:dyDescent="0.2"/>
    <row r="18" spans="2:14" x14ac:dyDescent="0.2">
      <c r="B18" s="194" t="s">
        <v>189</v>
      </c>
      <c r="C18" s="195"/>
      <c r="D18" s="195"/>
      <c r="E18" s="195"/>
      <c r="F18" s="195"/>
      <c r="G18" s="195"/>
      <c r="H18" s="195"/>
      <c r="I18" s="195"/>
      <c r="J18" s="195"/>
      <c r="K18" s="195"/>
      <c r="L18" s="195"/>
    </row>
    <row r="19" spans="2:14" x14ac:dyDescent="0.2">
      <c r="B19" s="78" t="s">
        <v>286</v>
      </c>
      <c r="C19" s="89">
        <f t="shared" ref="C19:J19" si="7">(C7*1000)/C15</f>
        <v>3.8138807965985912</v>
      </c>
      <c r="D19" s="89">
        <f t="shared" si="7"/>
        <v>3.8755367708351276</v>
      </c>
      <c r="E19" s="89">
        <f t="shared" si="7"/>
        <v>4.5457383217423413</v>
      </c>
      <c r="F19" s="89">
        <f t="shared" si="7"/>
        <v>3.9215444544357534</v>
      </c>
      <c r="G19" s="89">
        <f t="shared" ref="G19" si="8">(G7*1000)/G15</f>
        <v>4.0445029702004041</v>
      </c>
      <c r="H19" s="89">
        <f t="shared" si="7"/>
        <v>3.8471778198115105</v>
      </c>
      <c r="I19" s="89">
        <f t="shared" si="7"/>
        <v>3.9436989668247322</v>
      </c>
      <c r="J19" s="89">
        <f t="shared" si="7"/>
        <v>4.632731357337823</v>
      </c>
      <c r="K19" s="89">
        <f t="shared" ref="K19:L19" si="9">(K7*1000)/K15</f>
        <v>3.9308797544564866</v>
      </c>
      <c r="L19" s="89">
        <f t="shared" si="9"/>
        <v>4.0847564912029206</v>
      </c>
      <c r="N19" s="139"/>
    </row>
    <row r="20" spans="2:14" x14ac:dyDescent="0.2">
      <c r="B20" s="78" t="s">
        <v>287</v>
      </c>
      <c r="C20" s="139">
        <f t="shared" ref="C20:J20" si="10">C8*1000/C16</f>
        <v>2.92679791966364</v>
      </c>
      <c r="D20" s="139">
        <f t="shared" si="10"/>
        <v>2.9241676625982653</v>
      </c>
      <c r="E20" s="139">
        <f t="shared" si="10"/>
        <v>3.2897409686362602</v>
      </c>
      <c r="F20" s="139">
        <f t="shared" si="10"/>
        <v>3.135687669778505</v>
      </c>
      <c r="G20" s="139">
        <f t="shared" ref="G20" si="11">G8*1000/G16</f>
        <v>3.0755460895292823</v>
      </c>
      <c r="H20" s="139">
        <f t="shared" si="10"/>
        <v>2.9723873498939661</v>
      </c>
      <c r="I20" s="139">
        <f t="shared" si="10"/>
        <v>3.0592769848530397</v>
      </c>
      <c r="J20" s="139">
        <f t="shared" si="10"/>
        <v>3.3417896409226713</v>
      </c>
      <c r="K20" s="139">
        <f t="shared" ref="K20:L20" si="12">K8*1000/K16</f>
        <v>2.9272636599245065</v>
      </c>
      <c r="L20" s="139">
        <f t="shared" si="12"/>
        <v>3.0717490115769337</v>
      </c>
      <c r="N20" s="139"/>
    </row>
    <row r="21" spans="2:14" x14ac:dyDescent="0.2">
      <c r="B21" s="78" t="s">
        <v>291</v>
      </c>
      <c r="C21" s="139">
        <f t="shared" ref="C21:J21" si="13">C10*1000/C16</f>
        <v>0.88708287693495147</v>
      </c>
      <c r="D21" s="139">
        <f t="shared" si="13"/>
        <v>0.95136910823686283</v>
      </c>
      <c r="E21" s="139">
        <f t="shared" si="13"/>
        <v>1.2559973531060811</v>
      </c>
      <c r="F21" s="139">
        <f t="shared" si="13"/>
        <v>0.78585678465724806</v>
      </c>
      <c r="G21" s="139">
        <f t="shared" ref="G21" si="14">G10*1000/G16</f>
        <v>0.96895688067112207</v>
      </c>
      <c r="H21" s="139">
        <f t="shared" si="13"/>
        <v>0.87479046991754494</v>
      </c>
      <c r="I21" s="139">
        <f t="shared" si="13"/>
        <v>0.88442198197169253</v>
      </c>
      <c r="J21" s="139">
        <f t="shared" si="13"/>
        <v>1.2909417164151515</v>
      </c>
      <c r="K21" s="139">
        <f t="shared" ref="K21:L21" si="15">K10*1000/K16</f>
        <v>1.0036160945319794</v>
      </c>
      <c r="L21" s="139">
        <f t="shared" si="15"/>
        <v>1.0130074796259863</v>
      </c>
    </row>
    <row r="22" spans="2:14" x14ac:dyDescent="0.2">
      <c r="B22" s="58"/>
    </row>
    <row r="25" spans="2:14" x14ac:dyDescent="0.2">
      <c r="E25" s="93"/>
      <c r="F25" s="93"/>
      <c r="G25" s="93"/>
      <c r="H25" s="93"/>
      <c r="I25" s="93"/>
      <c r="J25" s="93"/>
      <c r="K25" s="93"/>
      <c r="L25" s="93"/>
    </row>
    <row r="26" spans="2:14" x14ac:dyDescent="0.2">
      <c r="E26" s="154"/>
      <c r="F26" s="93"/>
      <c r="G26" s="93"/>
      <c r="H26" s="93"/>
      <c r="I26" s="93"/>
      <c r="J26" s="93"/>
      <c r="K26" s="93"/>
      <c r="L26" s="93"/>
    </row>
    <row r="27" spans="2:14" ht="15" x14ac:dyDescent="0.25">
      <c r="B27" s="232"/>
      <c r="J27" s="93"/>
      <c r="K27" s="93"/>
      <c r="L27" s="93"/>
    </row>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F27E-55D1-46E1-99AC-32222F2C0F51}">
  <dimension ref="A2:T27"/>
  <sheetViews>
    <sheetView showGridLines="0" workbookViewId="0">
      <pane xSplit="2" ySplit="6" topLeftCell="C7" activePane="bottomRight" state="frozen"/>
      <selection pane="topRight" activeCell="P28" sqref="P28"/>
      <selection pane="bottomLeft" activeCell="P28" sqref="P28"/>
      <selection pane="bottomRight" activeCell="O30" sqref="O30"/>
    </sheetView>
  </sheetViews>
  <sheetFormatPr defaultColWidth="9.140625" defaultRowHeight="15" x14ac:dyDescent="0.25"/>
  <cols>
    <col min="1" max="1" width="9.140625" style="20"/>
    <col min="2" max="2" width="25.5703125" style="70" bestFit="1" customWidth="1"/>
    <col min="3" max="3" width="13.28515625" style="20" bestFit="1" customWidth="1"/>
    <col min="4" max="5" width="12.7109375" style="20" customWidth="1"/>
    <col min="6" max="7" width="13.7109375" style="20" customWidth="1"/>
    <col min="8" max="8" width="12.7109375" style="20" customWidth="1"/>
    <col min="9" max="9" width="12.7109375" style="20" bestFit="1" customWidth="1"/>
    <col min="10" max="11" width="13.5703125" style="20" bestFit="1" customWidth="1"/>
    <col min="12" max="12" width="13.5703125" style="20" customWidth="1"/>
    <col min="13" max="13" width="12.85546875" style="20" bestFit="1" customWidth="1"/>
    <col min="14" max="14" width="9.140625" style="20"/>
    <col min="15" max="15" width="25.28515625" style="20" bestFit="1" customWidth="1"/>
    <col min="16" max="16384" width="9.140625" style="20"/>
  </cols>
  <sheetData>
    <row r="2" spans="1:20" x14ac:dyDescent="0.25">
      <c r="A2" s="177">
        <f>'2022 IR Data Book'!$A$5</f>
        <v>0.27228666339922669</v>
      </c>
    </row>
    <row r="3" spans="1:20" x14ac:dyDescent="0.25">
      <c r="A3" s="177"/>
    </row>
    <row r="4" spans="1:20" ht="12.75" x14ac:dyDescent="0.2">
      <c r="B4" s="72" t="s">
        <v>20</v>
      </c>
      <c r="C4" s="72"/>
      <c r="D4" s="73"/>
      <c r="E4" s="72"/>
      <c r="F4" s="72"/>
      <c r="G4" s="72"/>
      <c r="H4" s="72"/>
      <c r="I4" s="73"/>
      <c r="J4" s="73"/>
      <c r="K4" s="73"/>
      <c r="L4" s="73"/>
      <c r="M4" s="261" t="s">
        <v>21</v>
      </c>
      <c r="N4" s="261"/>
      <c r="O4" s="261" t="s">
        <v>21</v>
      </c>
      <c r="P4" s="261"/>
      <c r="T4" s="71"/>
    </row>
    <row r="5" spans="1:20" ht="12.75" x14ac:dyDescent="0.2">
      <c r="B5" s="140"/>
      <c r="C5" s="75" t="s">
        <v>22</v>
      </c>
      <c r="D5" s="75" t="s">
        <v>23</v>
      </c>
      <c r="E5" s="75" t="s">
        <v>24</v>
      </c>
      <c r="F5" s="75" t="s">
        <v>25</v>
      </c>
      <c r="G5" s="75">
        <v>2021</v>
      </c>
      <c r="H5" s="75" t="s">
        <v>27</v>
      </c>
      <c r="I5" s="75" t="s">
        <v>28</v>
      </c>
      <c r="J5" s="75" t="s">
        <v>275</v>
      </c>
      <c r="K5" s="75" t="s">
        <v>303</v>
      </c>
      <c r="L5" s="75">
        <v>2022</v>
      </c>
      <c r="M5" s="75" t="str">
        <f>+'Aramex Courier'!M5</f>
        <v>Q4 22 vs Q4 21</v>
      </c>
      <c r="N5" s="75" t="s">
        <v>29</v>
      </c>
      <c r="O5" s="75" t="str">
        <f>+'Aramex Courier'!O5</f>
        <v>Dec YTD 2022 vs Dec YTD 2021</v>
      </c>
      <c r="P5" s="75" t="s">
        <v>29</v>
      </c>
    </row>
    <row r="6" spans="1:20" ht="12.75" x14ac:dyDescent="0.2">
      <c r="B6" s="76"/>
      <c r="C6" s="77"/>
      <c r="D6" s="77"/>
      <c r="E6" s="77"/>
      <c r="F6" s="77"/>
      <c r="G6" s="77"/>
    </row>
    <row r="7" spans="1:20" x14ac:dyDescent="0.25">
      <c r="B7" s="196" t="s">
        <v>175</v>
      </c>
      <c r="C7" s="200">
        <f>288280.575940776*('2022 IR Data Book'!$A$5)</f>
        <v>78494.956145721284</v>
      </c>
      <c r="D7" s="200">
        <f>328594.887287615*('2022 IR Data Book'!$A$5)</f>
        <v>89472.005469589654</v>
      </c>
      <c r="E7" s="200">
        <f>317999.956029371*('2022 IR Data Book'!$A$5)</f>
        <v>86587.146988338238</v>
      </c>
      <c r="F7" s="200">
        <f>390676.023992678*('2022 IR Data Book'!$A$5)</f>
        <v>106375.87104304251</v>
      </c>
      <c r="G7" s="200">
        <f>SUM(C7:F7)</f>
        <v>360929.9796466917</v>
      </c>
      <c r="H7" s="200">
        <f>391132.666929349*('2022 IR Data Book'!$A$5)</f>
        <v>106500.2088246335</v>
      </c>
      <c r="I7" s="200">
        <f>432410.059701346*('2022 IR Data Book'!$A$5)</f>
        <v>117739.49237633991</v>
      </c>
      <c r="J7" s="200">
        <f>439529.933418189*(('2022 IR Data Book'!$A$5))</f>
        <v>119678.13903452294</v>
      </c>
      <c r="K7" s="200">
        <f>421302.904555653*(('2022 IR Data Book'!$A$5))</f>
        <v>114715.16216186162</v>
      </c>
      <c r="L7" s="200">
        <f>SUM(H7:K7)</f>
        <v>458633.00239735795</v>
      </c>
      <c r="M7" s="201">
        <f>(K7-F7)</f>
        <v>8339.2911188191065</v>
      </c>
      <c r="N7" s="202">
        <f>M7/F7</f>
        <v>7.8394574230511424E-2</v>
      </c>
      <c r="O7" s="201">
        <f>L7-G7</f>
        <v>97703.022750666249</v>
      </c>
      <c r="P7" s="202">
        <f>O7/G7</f>
        <v>0.27069799756259122</v>
      </c>
    </row>
    <row r="8" spans="1:20" x14ac:dyDescent="0.25">
      <c r="B8" s="197" t="s">
        <v>178</v>
      </c>
      <c r="C8" s="203">
        <f>251447.615478377*('2022 IR Data Book'!$A$5)</f>
        <v>68465.832238299015</v>
      </c>
      <c r="D8" s="203">
        <f>294641.538103587*('2022 IR Data Book'!$A$5)</f>
        <v>80226.961309041813</v>
      </c>
      <c r="E8" s="203">
        <f>279789.238512976*('2022 IR Data Book'!$A$5)</f>
        <v>76182.878209708637</v>
      </c>
      <c r="F8" s="203">
        <f>345797.662241694*('2022 IR Data Book'!$A$5)</f>
        <v>94156.091663043611</v>
      </c>
      <c r="G8" s="203">
        <f>SUM(C8:F8)</f>
        <v>319031.76342009311</v>
      </c>
      <c r="H8" s="203">
        <f>339170.526827265*('2022 IR Data Book'!$A$5)</f>
        <v>92351.611073153894</v>
      </c>
      <c r="I8" s="203">
        <f>374509.42866716*('2022 IR Data Book'!$A$5)</f>
        <v>101973.92274333168</v>
      </c>
      <c r="J8" s="203">
        <f>378656.481028786*(('2022 IR Data Book'!$A$5))</f>
        <v>103103.10979382072</v>
      </c>
      <c r="K8" s="203">
        <f>359342.067699344*(('2022 IR Data Book'!$A$5))</f>
        <v>97844.052632833409</v>
      </c>
      <c r="L8" s="203">
        <f>SUM(H8:K8)</f>
        <v>395272.69624313974</v>
      </c>
      <c r="M8" s="204">
        <f>(K8-F8)</f>
        <v>3687.9609697897977</v>
      </c>
      <c r="N8" s="205">
        <f>M8/F8</f>
        <v>3.9168585958175739E-2</v>
      </c>
      <c r="O8" s="204">
        <f>L8-G8</f>
        <v>76240.932823046634</v>
      </c>
      <c r="P8" s="205">
        <f>O8/G8</f>
        <v>0.2389759941321406</v>
      </c>
    </row>
    <row r="9" spans="1:20" x14ac:dyDescent="0.25">
      <c r="B9" s="196" t="s">
        <v>179</v>
      </c>
      <c r="C9" s="200">
        <f>C7-C8</f>
        <v>10029.123907422269</v>
      </c>
      <c r="D9" s="200">
        <f t="shared" ref="D9:I9" si="0">D7-D8</f>
        <v>9245.0441605478409</v>
      </c>
      <c r="E9" s="200">
        <f t="shared" si="0"/>
        <v>10404.268778629601</v>
      </c>
      <c r="F9" s="200">
        <f t="shared" si="0"/>
        <v>12219.779379998901</v>
      </c>
      <c r="G9" s="200">
        <f t="shared" ref="G9" si="1">G7-G8</f>
        <v>41898.216226598597</v>
      </c>
      <c r="H9" s="200">
        <f t="shared" si="0"/>
        <v>14148.59775147961</v>
      </c>
      <c r="I9" s="200">
        <f t="shared" si="0"/>
        <v>15765.569633008228</v>
      </c>
      <c r="J9" s="200">
        <f t="shared" ref="J9:K9" si="2">J7-J8</f>
        <v>16575.029240702221</v>
      </c>
      <c r="K9" s="200">
        <f t="shared" si="2"/>
        <v>16871.10952902821</v>
      </c>
      <c r="L9" s="200">
        <f t="shared" ref="L9" si="3">L7-L8</f>
        <v>63360.306154218211</v>
      </c>
      <c r="M9" s="200">
        <f>(K9-F9)</f>
        <v>4651.3301490293088</v>
      </c>
      <c r="N9" s="202">
        <f>M9/F9</f>
        <v>0.3806394538220973</v>
      </c>
      <c r="O9" s="200">
        <f>L9-G9</f>
        <v>21462.089927619614</v>
      </c>
      <c r="P9" s="202">
        <f>O9/G9</f>
        <v>0.51224352396163952</v>
      </c>
    </row>
    <row r="10" spans="1:20" x14ac:dyDescent="0.25">
      <c r="B10" s="198" t="s">
        <v>180</v>
      </c>
      <c r="C10" s="206">
        <f>C9/C7</f>
        <v>0.12776774967303361</v>
      </c>
      <c r="D10" s="206">
        <f t="shared" ref="D10:I10" si="4">D9/D7</f>
        <v>0.10332890284537222</v>
      </c>
      <c r="E10" s="206">
        <f t="shared" si="4"/>
        <v>0.12015950566001295</v>
      </c>
      <c r="F10" s="206">
        <f t="shared" si="4"/>
        <v>0.11487360112947469</v>
      </c>
      <c r="G10" s="206">
        <f t="shared" ref="G10" si="5">G9/G7</f>
        <v>0.1160840567126401</v>
      </c>
      <c r="H10" s="206">
        <f t="shared" si="4"/>
        <v>0.13285042262008259</v>
      </c>
      <c r="I10" s="206">
        <f t="shared" si="4"/>
        <v>0.13390213695346595</v>
      </c>
      <c r="J10" s="206">
        <f t="shared" ref="J10:K10" si="6">J9/J7</f>
        <v>0.13849671606207803</v>
      </c>
      <c r="K10" s="206">
        <f t="shared" si="6"/>
        <v>0.14706956962867115</v>
      </c>
      <c r="L10" s="206">
        <f t="shared" ref="L10" si="7">L9/L7</f>
        <v>0.13815034204477739</v>
      </c>
      <c r="M10" s="206"/>
      <c r="N10" s="206"/>
      <c r="O10" s="206"/>
      <c r="P10" s="206"/>
    </row>
    <row r="11" spans="1:20" x14ac:dyDescent="0.25">
      <c r="B11" s="79"/>
      <c r="C11" s="207"/>
      <c r="D11" s="207"/>
      <c r="E11" s="207"/>
      <c r="F11" s="207"/>
      <c r="G11" s="207"/>
      <c r="H11" s="207"/>
      <c r="I11" s="207"/>
      <c r="J11" s="207"/>
      <c r="K11" s="207"/>
      <c r="L11" s="207"/>
      <c r="M11" s="208"/>
      <c r="N11" s="205"/>
      <c r="O11" s="208"/>
      <c r="P11" s="205"/>
    </row>
    <row r="12" spans="1:20" x14ac:dyDescent="0.25">
      <c r="B12" s="80" t="s">
        <v>181</v>
      </c>
      <c r="C12" s="209">
        <f>3822.92049566416*('2022 IR Data Book'!$A$5)</f>
        <v>1040.930266204912</v>
      </c>
      <c r="D12" s="209">
        <f>171.814102409621*('2022 IR Data Book'!$A$5)</f>
        <v>46.782688670048735</v>
      </c>
      <c r="E12" s="209">
        <f>5640.07082045135*('2022 IR Data Book'!$A$5)</f>
        <v>1535.7160650360372</v>
      </c>
      <c r="F12" s="209">
        <f>4136.80991535253*('2022 IR Data Book'!$A$5)</f>
        <v>1126.3981689681777</v>
      </c>
      <c r="G12" s="209">
        <f>SUM(C12:F12)</f>
        <v>3749.8271888791755</v>
      </c>
      <c r="H12" s="209">
        <f>14686.2116146079*('2022 IR Data Book'!$A$5)</f>
        <v>3998.8595585165549</v>
      </c>
      <c r="I12" s="209">
        <f>17191.5272319881*('2022 IR Data Book'!$A$5)</f>
        <v>4681.0235887349836</v>
      </c>
      <c r="J12" s="209">
        <f>23649.3192942625*(('2022 IR Data Book'!$A$5))</f>
        <v>6439.3942422976907</v>
      </c>
      <c r="K12" s="209">
        <f>16338.8952264309*(('2022 IR Data Book'!$A$5))</f>
        <v>4448.8632648344219</v>
      </c>
      <c r="L12" s="209">
        <f>SUM(H12:K12)</f>
        <v>19568.140654383649</v>
      </c>
      <c r="M12" s="209">
        <f>(K12-F12)</f>
        <v>3322.4650958662442</v>
      </c>
      <c r="N12" s="210">
        <f>M12/F12</f>
        <v>2.9496364495245451</v>
      </c>
      <c r="O12" s="209">
        <f>L12-G12</f>
        <v>15818.313465504474</v>
      </c>
      <c r="P12" s="210">
        <f>O12/G12</f>
        <v>4.2184113210381229</v>
      </c>
    </row>
    <row r="13" spans="1:20" x14ac:dyDescent="0.25">
      <c r="B13" s="70" t="s">
        <v>182</v>
      </c>
      <c r="C13" s="206">
        <f>C12/C7</f>
        <v>1.3261110233280289E-2</v>
      </c>
      <c r="D13" s="206">
        <f>D12/D7</f>
        <v>5.2287515435148646E-4</v>
      </c>
      <c r="E13" s="206">
        <f t="shared" ref="E13:I13" si="8">E12/E7</f>
        <v>1.7736074214835501E-2</v>
      </c>
      <c r="F13" s="206">
        <f t="shared" si="8"/>
        <v>1.0588850252633016E-2</v>
      </c>
      <c r="G13" s="206">
        <f t="shared" si="8"/>
        <v>1.0389348073966641E-2</v>
      </c>
      <c r="H13" s="206">
        <f t="shared" si="8"/>
        <v>3.7547903451543456E-2</v>
      </c>
      <c r="I13" s="206">
        <f t="shared" si="8"/>
        <v>3.975746365350942E-2</v>
      </c>
      <c r="J13" s="206">
        <f t="shared" ref="J13:L13" si="9">J12/J7</f>
        <v>5.3805935605667723E-2</v>
      </c>
      <c r="K13" s="206">
        <f t="shared" si="9"/>
        <v>3.8781824311568625E-2</v>
      </c>
      <c r="L13" s="206">
        <f t="shared" si="9"/>
        <v>4.2666228884745375E-2</v>
      </c>
      <c r="M13" s="206"/>
      <c r="N13" s="206"/>
      <c r="O13" s="206"/>
      <c r="P13" s="206"/>
    </row>
    <row r="14" spans="1:20" x14ac:dyDescent="0.25">
      <c r="B14" s="80" t="s">
        <v>183</v>
      </c>
      <c r="C14" s="209">
        <f>11649.503469717*('2022 IR Data Book'!$A$5)</f>
        <v>3172.004430026956</v>
      </c>
      <c r="D14" s="209">
        <f>7725.88673752908*('2022 IR Data Book'!$A$5)</f>
        <v>2103.6559215621305</v>
      </c>
      <c r="E14" s="209">
        <f>12316.8417705766*('2022 IR Data Book'!$A$5)</f>
        <v>3353.7117493265259</v>
      </c>
      <c r="F14" s="209">
        <f>11482.2707390202*('2022 IR Data Book'!$A$5)</f>
        <v>3126.469187774383</v>
      </c>
      <c r="G14" s="209">
        <f>SUM(C14:F14)</f>
        <v>11755.841288689995</v>
      </c>
      <c r="H14" s="209">
        <f>21571.2629559869*('2022 IR Data Book'!$A$5)</f>
        <v>5873.5672155930124</v>
      </c>
      <c r="I14" s="209">
        <f>24721.107975711*('2022 IR Data Book'!$A$5)</f>
        <v>6731.2280062383588</v>
      </c>
      <c r="J14" s="209">
        <f>31379.0339348859*(('2022 IR Data Book'!$A$5))</f>
        <v>8544.0924508211901</v>
      </c>
      <c r="K14" s="209">
        <f>23447.4167367756*(('2022 IR Data Book'!$A$5))</f>
        <v>6384.4188685878125</v>
      </c>
      <c r="L14" s="209">
        <f>SUM(H14:K14)</f>
        <v>27533.306541240374</v>
      </c>
      <c r="M14" s="209">
        <f>(K14-F14)</f>
        <v>3257.9496808134295</v>
      </c>
      <c r="N14" s="210">
        <f>M14/F14</f>
        <v>1.0420539865075857</v>
      </c>
      <c r="O14" s="209">
        <f>L14-G14</f>
        <v>15777.465252550379</v>
      </c>
      <c r="P14" s="210">
        <f>O14/G14</f>
        <v>1.3420958028524499</v>
      </c>
    </row>
    <row r="15" spans="1:20" x14ac:dyDescent="0.25">
      <c r="B15" s="70" t="s">
        <v>184</v>
      </c>
      <c r="C15" s="206">
        <f>C14/C7</f>
        <v>4.0410296225127075E-2</v>
      </c>
      <c r="D15" s="206">
        <f t="shared" ref="D15:I15" si="10">D14/D7</f>
        <v>2.3511889674554521E-2</v>
      </c>
      <c r="E15" s="206">
        <f t="shared" si="10"/>
        <v>3.873221218130922E-2</v>
      </c>
      <c r="F15" s="206">
        <f t="shared" si="10"/>
        <v>2.9390774027216477E-2</v>
      </c>
      <c r="G15" s="206">
        <f t="shared" si="10"/>
        <v>3.2570974847247629E-2</v>
      </c>
      <c r="H15" s="206">
        <f t="shared" si="10"/>
        <v>5.5150757734800382E-2</v>
      </c>
      <c r="I15" s="206">
        <f t="shared" si="10"/>
        <v>5.7170520021632254E-2</v>
      </c>
      <c r="J15" s="206">
        <f t="shared" ref="J15:L15" si="11">J14/J7</f>
        <v>7.1392256929701414E-2</v>
      </c>
      <c r="K15" s="206">
        <f t="shared" si="11"/>
        <v>5.5654533788475839E-2</v>
      </c>
      <c r="L15" s="206">
        <f t="shared" si="11"/>
        <v>6.0033417563321395E-2</v>
      </c>
      <c r="M15" s="206"/>
      <c r="N15" s="206"/>
      <c r="O15" s="206"/>
      <c r="P15" s="206"/>
    </row>
    <row r="17" spans="2:12" x14ac:dyDescent="0.25">
      <c r="B17" s="79" t="s">
        <v>185</v>
      </c>
      <c r="D17" s="257"/>
      <c r="H17" s="28"/>
    </row>
    <row r="18" spans="2:12" x14ac:dyDescent="0.25">
      <c r="B18" s="79"/>
      <c r="C18" s="75" t="s">
        <v>22</v>
      </c>
      <c r="D18" s="75" t="s">
        <v>23</v>
      </c>
      <c r="E18" s="75" t="s">
        <v>24</v>
      </c>
      <c r="F18" s="75" t="s">
        <v>25</v>
      </c>
      <c r="G18" s="218">
        <v>2021</v>
      </c>
      <c r="H18" s="75" t="s">
        <v>27</v>
      </c>
      <c r="I18" s="75" t="s">
        <v>28</v>
      </c>
      <c r="J18" s="75" t="s">
        <v>275</v>
      </c>
      <c r="K18" s="75" t="s">
        <v>303</v>
      </c>
      <c r="L18" s="218">
        <v>2022</v>
      </c>
    </row>
    <row r="19" spans="2:12" ht="12.75" x14ac:dyDescent="0.2">
      <c r="B19" s="242" t="s">
        <v>198</v>
      </c>
      <c r="C19" s="243">
        <v>5951</v>
      </c>
      <c r="D19" s="244">
        <v>5937</v>
      </c>
      <c r="E19" s="244">
        <v>6294</v>
      </c>
      <c r="F19" s="244">
        <v>7680</v>
      </c>
      <c r="G19" s="244">
        <f>SUM(C19:F19)</f>
        <v>25862</v>
      </c>
      <c r="H19" s="244">
        <v>7271</v>
      </c>
      <c r="I19" s="245">
        <v>6794</v>
      </c>
      <c r="J19" s="245">
        <v>7355</v>
      </c>
      <c r="K19" s="253">
        <v>7616</v>
      </c>
      <c r="L19" s="253">
        <f>SUM(H19:K19)</f>
        <v>29036</v>
      </c>
    </row>
    <row r="20" spans="2:12" ht="12.75" x14ac:dyDescent="0.2">
      <c r="B20" s="246" t="s">
        <v>199</v>
      </c>
      <c r="C20" s="247">
        <v>34763989.210000053</v>
      </c>
      <c r="D20" s="248">
        <v>37260459.126000009</v>
      </c>
      <c r="E20" s="248">
        <v>39762128.206000052</v>
      </c>
      <c r="F20" s="248">
        <v>40009071.34800002</v>
      </c>
      <c r="G20" s="248">
        <f t="shared" ref="G20:G23" si="12">SUM(C20:F20)</f>
        <v>151795647.89000013</v>
      </c>
      <c r="H20" s="248">
        <v>36921430</v>
      </c>
      <c r="I20" s="249">
        <v>39173304</v>
      </c>
      <c r="J20" s="249">
        <v>38523420</v>
      </c>
      <c r="K20" s="254">
        <v>38871375.280000068</v>
      </c>
      <c r="L20" s="254">
        <f t="shared" ref="L20:L23" si="13">SUM(H20:K20)</f>
        <v>153489529.28000006</v>
      </c>
    </row>
    <row r="21" spans="2:12" ht="12.75" x14ac:dyDescent="0.2">
      <c r="B21" s="246" t="s">
        <v>200</v>
      </c>
      <c r="C21" s="248">
        <v>9007.6500000000015</v>
      </c>
      <c r="D21" s="248">
        <v>9298.0000000000018</v>
      </c>
      <c r="E21" s="248">
        <v>8662.9500000000007</v>
      </c>
      <c r="F21" s="248">
        <v>7814.7999999999993</v>
      </c>
      <c r="G21" s="248">
        <f t="shared" si="12"/>
        <v>34783.4</v>
      </c>
      <c r="H21" s="248">
        <v>8142</v>
      </c>
      <c r="I21" s="249">
        <v>6833</v>
      </c>
      <c r="J21" s="249">
        <v>7766</v>
      </c>
      <c r="K21" s="254">
        <v>8392.3499999999913</v>
      </c>
      <c r="L21" s="254">
        <f t="shared" si="13"/>
        <v>31133.349999999991</v>
      </c>
    </row>
    <row r="22" spans="2:12" ht="12.75" x14ac:dyDescent="0.2">
      <c r="B22" s="246" t="s">
        <v>201</v>
      </c>
      <c r="C22" s="248">
        <v>13124.366</v>
      </c>
      <c r="D22" s="248">
        <v>7500.2289999999994</v>
      </c>
      <c r="E22" s="248">
        <v>8441.005000000001</v>
      </c>
      <c r="F22" s="248">
        <v>9689.8050000000003</v>
      </c>
      <c r="G22" s="248">
        <f t="shared" si="12"/>
        <v>38755.404999999999</v>
      </c>
      <c r="H22" s="248">
        <v>5225</v>
      </c>
      <c r="I22" s="249">
        <v>4033</v>
      </c>
      <c r="J22" s="249">
        <v>4759</v>
      </c>
      <c r="K22" s="254">
        <v>4508.5740000000005</v>
      </c>
      <c r="L22" s="254">
        <f t="shared" si="13"/>
        <v>18525.574000000001</v>
      </c>
    </row>
    <row r="23" spans="2:12" ht="12.75" x14ac:dyDescent="0.2">
      <c r="B23" s="250" t="s">
        <v>202</v>
      </c>
      <c r="C23" s="251">
        <v>11113174.231000002</v>
      </c>
      <c r="D23" s="251">
        <v>11376366.989000002</v>
      </c>
      <c r="E23" s="251">
        <v>12392469.461000001</v>
      </c>
      <c r="F23" s="251">
        <v>11950161.360000003</v>
      </c>
      <c r="G23" s="251">
        <f t="shared" si="12"/>
        <v>46832172.041000009</v>
      </c>
      <c r="H23" s="251">
        <v>12740840</v>
      </c>
      <c r="I23" s="252">
        <v>16432000</v>
      </c>
      <c r="J23" s="252">
        <v>11773193</v>
      </c>
      <c r="K23" s="255">
        <v>11579800.640000001</v>
      </c>
      <c r="L23" s="255">
        <f t="shared" si="13"/>
        <v>52525833.640000001</v>
      </c>
    </row>
    <row r="24" spans="2:12" ht="12.75" x14ac:dyDescent="0.2">
      <c r="B24" s="175"/>
    </row>
    <row r="27" spans="2:12" x14ac:dyDescent="0.25">
      <c r="D27" s="257"/>
      <c r="E27" s="257"/>
    </row>
  </sheetData>
  <mergeCells count="2">
    <mergeCell ref="M4:N4"/>
    <mergeCell ref="O4:P4"/>
  </mergeCells>
  <pageMargins left="0.7" right="0.7" top="0.75" bottom="0.75" header="0.3" footer="0.3"/>
  <pageSetup orientation="portrait" horizontalDpi="1200" verticalDpi="1200" r:id="rId1"/>
  <ignoredErrors>
    <ignoredError sqref="G13 L1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ba0890a-ecb8-49f1-855e-332f51d41d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E4D08617C3D4C91047A59C3ABC5F2" ma:contentTypeVersion="16" ma:contentTypeDescription="Create a new document." ma:contentTypeScope="" ma:versionID="1ef287cac983eb7aa3069a631fdb938f">
  <xsd:schema xmlns:xsd="http://www.w3.org/2001/XMLSchema" xmlns:xs="http://www.w3.org/2001/XMLSchema" xmlns:p="http://schemas.microsoft.com/office/2006/metadata/properties" xmlns:ns3="0ba0890a-ecb8-49f1-855e-332f51d41d52" xmlns:ns4="124cd9c5-0913-41b7-b5bf-a64f2bbe87aa" targetNamespace="http://schemas.microsoft.com/office/2006/metadata/properties" ma:root="true" ma:fieldsID="7747e6cebc3792e3bb3495605d11236e" ns3:_="" ns4:_="">
    <xsd:import namespace="0ba0890a-ecb8-49f1-855e-332f51d41d52"/>
    <xsd:import namespace="124cd9c5-0913-41b7-b5bf-a64f2bbe87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a0890a-ecb8-49f1-855e-332f51d41d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4cd9c5-0913-41b7-b5bf-a64f2bbe87a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BA8FC-D23C-4F93-A85B-8CB4C25C10C8}">
  <ds:schemaRef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0ba0890a-ecb8-49f1-855e-332f51d41d52"/>
    <ds:schemaRef ds:uri="http://purl.org/dc/elements/1.1/"/>
    <ds:schemaRef ds:uri="http://schemas.openxmlformats.org/package/2006/metadata/core-properties"/>
    <ds:schemaRef ds:uri="124cd9c5-0913-41b7-b5bf-a64f2bbe87aa"/>
    <ds:schemaRef ds:uri="http://purl.org/dc/dcmitype/"/>
  </ds:schemaRefs>
</ds:datastoreItem>
</file>

<file path=customXml/itemProps2.xml><?xml version="1.0" encoding="utf-8"?>
<ds:datastoreItem xmlns:ds="http://schemas.openxmlformats.org/officeDocument/2006/customXml" ds:itemID="{BA331388-BAE5-410E-8154-30D3AA16694F}">
  <ds:schemaRefs>
    <ds:schemaRef ds:uri="http://schemas.microsoft.com/sharepoint/v3/contenttype/forms"/>
  </ds:schemaRefs>
</ds:datastoreItem>
</file>

<file path=customXml/itemProps3.xml><?xml version="1.0" encoding="utf-8"?>
<ds:datastoreItem xmlns:ds="http://schemas.openxmlformats.org/officeDocument/2006/customXml" ds:itemID="{6F1F12C0-CCCC-4E59-AE7D-1D639FA5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a0890a-ecb8-49f1-855e-332f51d41d52"/>
    <ds:schemaRef ds:uri="124cd9c5-0913-41b7-b5bf-a64f2bbe8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2022 IR Data Book</vt:lpstr>
      <vt:lpstr>Contents</vt:lpstr>
      <vt:lpstr>Group Profit &amp; Loss Stm</vt:lpstr>
      <vt:lpstr>Group Balance Sheet</vt:lpstr>
      <vt:lpstr>Group CF and CAPEX</vt:lpstr>
      <vt:lpstr>Aramex Courier</vt:lpstr>
      <vt:lpstr>Aramex Express+SNS</vt:lpstr>
      <vt:lpstr>Aramex Domestic</vt:lpstr>
      <vt:lpstr>Aramex Freight</vt:lpstr>
      <vt:lpstr>Aramex Logistics</vt:lpstr>
      <vt:lpstr>Regional Breakdown</vt:lpstr>
      <vt:lpstr>GP Recflassification</vt:lpstr>
      <vt:lpstr>Historic_Product_Breakdown</vt:lpstr>
      <vt:lpstr>Historic Express Rev_Vol_ Data</vt:lpstr>
      <vt:lpstr>Key figures and ratios</vt:lpstr>
      <vt:lpstr>Normalised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Usman Syed</dc:creator>
  <cp:keywords/>
  <dc:description/>
  <cp:lastModifiedBy>Anca Cighi</cp:lastModifiedBy>
  <cp:revision/>
  <dcterms:created xsi:type="dcterms:W3CDTF">2021-07-29T06:01:51Z</dcterms:created>
  <dcterms:modified xsi:type="dcterms:W3CDTF">2023-03-16T10:06:07Z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0x0101004FDE4D08617C3D4C91047A59C3ABC5F2</vt:lpwstr>
  </property>
  <property fmtid="{D5CDD505-2E9C-101B-9397-08002B2CF9AE}" pid="3" name="MSIP_Label_5c15bd85-9f84-4ab9-b6e1-ccb9127e3d2a_Enabled">
    <vt:lpwstr>true</vt:lpwstr>
  </property>
  <property fmtid="{D5CDD505-2E9C-101B-9397-08002B2CF9AE}" pid="4" name="MSIP_Label_5c15bd85-9f84-4ab9-b6e1-ccb9127e3d2a_SetDate">
    <vt:lpwstr>2022-01-14T10:55:21Z</vt:lpwstr>
  </property>
  <property fmtid="{D5CDD505-2E9C-101B-9397-08002B2CF9AE}" pid="5" name="MSIP_Label_5c15bd85-9f84-4ab9-b6e1-ccb9127e3d2a_Method">
    <vt:lpwstr>Privileged</vt:lpwstr>
  </property>
  <property fmtid="{D5CDD505-2E9C-101B-9397-08002B2CF9AE}" pid="6" name="MSIP_Label_5c15bd85-9f84-4ab9-b6e1-ccb9127e3d2a_Name">
    <vt:lpwstr>Internal Classification</vt:lpwstr>
  </property>
  <property fmtid="{D5CDD505-2E9C-101B-9397-08002B2CF9AE}" pid="7" name="MSIP_Label_5c15bd85-9f84-4ab9-b6e1-ccb9127e3d2a_SiteId">
    <vt:lpwstr>43aa4ce1-f125-4390-a30c-5375aae87717</vt:lpwstr>
  </property>
  <property fmtid="{D5CDD505-2E9C-101B-9397-08002B2CF9AE}" pid="8" name="MSIP_Label_5c15bd85-9f84-4ab9-b6e1-ccb9127e3d2a_ActionId">
    <vt:lpwstr>d254e9e8-ade7-4e39-9d22-6a4a2f08937a</vt:lpwstr>
  </property>
  <property fmtid="{D5CDD505-2E9C-101B-9397-08002B2CF9AE}" pid="9" name="MSIP_Label_5c15bd85-9f84-4ab9-b6e1-ccb9127e3d2a_ContentBits">
    <vt:lpwstr>0</vt:lpwstr>
  </property>
</Properties>
</file>