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8"/>
  <workbookPr defaultThemeVersion="166925"/>
  <mc:AlternateContent xmlns:mc="http://schemas.openxmlformats.org/markup-compatibility/2006">
    <mc:Choice Requires="x15">
      <x15ac:absPath xmlns:x15ac="http://schemas.microsoft.com/office/spreadsheetml/2010/11/ac" url="C:\Users\Anca\OneDrive - Aramex International\Desktop\Quarterly results\Q2 2022\IR Data Book\FINAL\"/>
    </mc:Choice>
  </mc:AlternateContent>
  <xr:revisionPtr revIDLastSave="194" documentId="8_{823773C0-4C7F-4667-A91E-2E0E510D7B95}" xr6:coauthVersionLast="36" xr6:coauthVersionMax="47" xr10:uidLastSave="{1F95F458-50BF-4D5D-8916-3E1DF5839ACF}"/>
  <bookViews>
    <workbookView xWindow="-120" yWindow="-120" windowWidth="28920" windowHeight="12345" tabRatio="914" xr2:uid="{57DDC26A-0058-42D3-AF50-F9A5729AB588}"/>
  </bookViews>
  <sheets>
    <sheet name="2022 IR Data Book" sheetId="5" r:id="rId1"/>
    <sheet name="Contents" sheetId="20" r:id="rId2"/>
    <sheet name="Group Profit &amp; Loss Stm" sheetId="11" r:id="rId3"/>
    <sheet name="Group Balance Sheet" sheetId="10" r:id="rId4"/>
    <sheet name="Group CF and CAPEX" sheetId="12" r:id="rId5"/>
    <sheet name="Aramex Courier" sheetId="13" r:id="rId6"/>
    <sheet name="Aramex Freight" sheetId="14" r:id="rId7"/>
    <sheet name="Aramex Logistics" sheetId="15" r:id="rId8"/>
    <sheet name="Regional Breakdown" sheetId="9" r:id="rId9"/>
    <sheet name="GP Recflassification" sheetId="8" r:id="rId10"/>
    <sheet name="Historic_Product_Breakdown" sheetId="7" r:id="rId11"/>
    <sheet name="Historic Courier Rev_Vol_ Data" sheetId="6" r:id="rId12"/>
  </sheets>
  <externalReferences>
    <externalReference r:id="rId13"/>
  </externalReferences>
  <definedNames>
    <definedName name="Currency" localSheetId="11">'[1]Act''21 vs Act''20-Month'!#REF!</definedName>
    <definedName name="Currency">'[1]Act''21 vs Act''20-Month'!#REF!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1" i="10" l="1"/>
  <c r="F30" i="10"/>
  <c r="F29" i="10"/>
  <c r="F28" i="10"/>
  <c r="F27" i="10"/>
  <c r="H66" i="12"/>
  <c r="H65" i="12"/>
  <c r="H58" i="12"/>
  <c r="H57" i="12"/>
  <c r="H56" i="12"/>
  <c r="H55" i="12"/>
  <c r="H54" i="12"/>
  <c r="H48" i="12"/>
  <c r="H47" i="12"/>
  <c r="H46" i="12"/>
  <c r="H44" i="12"/>
  <c r="H42" i="12"/>
  <c r="H41" i="12"/>
  <c r="H40" i="12"/>
  <c r="H38" i="12"/>
  <c r="H37" i="12"/>
  <c r="H33" i="12"/>
  <c r="H32" i="12"/>
  <c r="H27" i="12"/>
  <c r="H26" i="12"/>
  <c r="H25" i="12"/>
  <c r="H24" i="12"/>
  <c r="H19" i="12"/>
  <c r="H18" i="12"/>
  <c r="H16" i="12"/>
  <c r="H15" i="12"/>
  <c r="H14" i="12"/>
  <c r="H13" i="12"/>
  <c r="H12" i="12"/>
  <c r="H11" i="12"/>
  <c r="H10" i="12"/>
  <c r="H9" i="12"/>
  <c r="H4" i="12"/>
  <c r="H3" i="12"/>
  <c r="G66" i="12"/>
  <c r="G65" i="12"/>
  <c r="G58" i="12"/>
  <c r="G57" i="12"/>
  <c r="G56" i="12"/>
  <c r="G55" i="12"/>
  <c r="G54" i="12"/>
  <c r="G47" i="12"/>
  <c r="G46" i="12"/>
  <c r="G48" i="12"/>
  <c r="G42" i="12"/>
  <c r="G41" i="12"/>
  <c r="G40" i="12"/>
  <c r="G38" i="12"/>
  <c r="G37" i="12"/>
  <c r="G32" i="12"/>
  <c r="G33" i="12"/>
  <c r="G27" i="12"/>
  <c r="G26" i="12"/>
  <c r="G24" i="12"/>
  <c r="G19" i="12"/>
  <c r="G16" i="12"/>
  <c r="G15" i="12"/>
  <c r="G14" i="12"/>
  <c r="G13" i="12"/>
  <c r="G12" i="12"/>
  <c r="G18" i="12"/>
  <c r="G11" i="12"/>
  <c r="H20" i="10"/>
  <c r="E71" i="12"/>
  <c r="G10" i="12"/>
  <c r="G9" i="12"/>
  <c r="G4" i="12"/>
  <c r="G53" i="10"/>
  <c r="G51" i="10"/>
  <c r="G50" i="10"/>
  <c r="G49" i="10"/>
  <c r="G47" i="10"/>
  <c r="G48" i="10"/>
  <c r="G46" i="10"/>
  <c r="G43" i="10"/>
  <c r="G42" i="10"/>
  <c r="G41" i="10"/>
  <c r="G40" i="10"/>
  <c r="G39" i="10"/>
  <c r="G34" i="10"/>
  <c r="G31" i="10"/>
  <c r="G30" i="10"/>
  <c r="G29" i="10"/>
  <c r="G28" i="10"/>
  <c r="G27" i="10"/>
  <c r="G26" i="10"/>
  <c r="G22" i="10"/>
  <c r="G20" i="10"/>
  <c r="G19" i="10"/>
  <c r="G18" i="10"/>
  <c r="G17" i="10"/>
  <c r="G14" i="10"/>
  <c r="G13" i="10"/>
  <c r="G12" i="10"/>
  <c r="G11" i="10"/>
  <c r="G10" i="10"/>
  <c r="G9" i="10"/>
  <c r="G8" i="10"/>
  <c r="G7" i="10"/>
  <c r="I36" i="11"/>
  <c r="N193" i="9" l="1"/>
  <c r="L193" i="9"/>
  <c r="N175" i="9"/>
  <c r="L175" i="9"/>
  <c r="N166" i="9"/>
  <c r="L166" i="9"/>
  <c r="N154" i="9"/>
  <c r="L154" i="9"/>
  <c r="N145" i="9"/>
  <c r="L145" i="9"/>
  <c r="N133" i="9"/>
  <c r="L133" i="9"/>
  <c r="N124" i="9"/>
  <c r="L124" i="9"/>
  <c r="N112" i="9"/>
  <c r="L112" i="9"/>
  <c r="N103" i="9"/>
  <c r="L103" i="9"/>
  <c r="N91" i="9"/>
  <c r="L91" i="9"/>
  <c r="N82" i="9"/>
  <c r="L82" i="9"/>
  <c r="N70" i="9"/>
  <c r="L70" i="9"/>
  <c r="N61" i="9"/>
  <c r="L61" i="9"/>
  <c r="N49" i="9"/>
  <c r="L49" i="9"/>
  <c r="N40" i="9"/>
  <c r="L40" i="9"/>
  <c r="N28" i="9"/>
  <c r="L28" i="9"/>
  <c r="N19" i="9"/>
  <c r="L19" i="9"/>
  <c r="A5" i="5" l="1"/>
  <c r="A4" i="5"/>
  <c r="A2" i="5"/>
  <c r="D12" i="11" l="1"/>
  <c r="D13" i="11"/>
  <c r="C27" i="6"/>
  <c r="C22" i="6"/>
  <c r="C17" i="6"/>
  <c r="C12" i="6"/>
  <c r="C7" i="6"/>
  <c r="F68" i="7"/>
  <c r="F45" i="7"/>
  <c r="K49" i="7"/>
  <c r="K45" i="7"/>
  <c r="K38" i="7"/>
  <c r="K34" i="7"/>
  <c r="L25" i="7"/>
  <c r="L21" i="7"/>
  <c r="F23" i="7"/>
  <c r="K10" i="7"/>
  <c r="K7" i="7"/>
  <c r="G31" i="8"/>
  <c r="G11" i="8"/>
  <c r="C185" i="9"/>
  <c r="L179" i="9"/>
  <c r="C181" i="9"/>
  <c r="N159" i="9"/>
  <c r="L156" i="9"/>
  <c r="C160" i="9"/>
  <c r="C143" i="9"/>
  <c r="L137" i="9"/>
  <c r="C139" i="9"/>
  <c r="N117" i="9"/>
  <c r="L114" i="9"/>
  <c r="C118" i="9"/>
  <c r="N96" i="9"/>
  <c r="L93" i="9"/>
  <c r="C97" i="9"/>
  <c r="N75" i="9"/>
  <c r="L72" i="9"/>
  <c r="C76" i="9"/>
  <c r="C59" i="9"/>
  <c r="L53" i="9"/>
  <c r="C55" i="9"/>
  <c r="C38" i="9"/>
  <c r="L32" i="9"/>
  <c r="C34" i="9"/>
  <c r="N11" i="9"/>
  <c r="L8" i="9"/>
  <c r="C12" i="9"/>
  <c r="F14" i="15"/>
  <c r="D12" i="15"/>
  <c r="H8" i="15"/>
  <c r="F7" i="15"/>
  <c r="F14" i="14"/>
  <c r="G12" i="14"/>
  <c r="H8" i="14"/>
  <c r="F7" i="14"/>
  <c r="E15" i="13"/>
  <c r="C13" i="13"/>
  <c r="G8" i="13"/>
  <c r="E7" i="13"/>
  <c r="D66" i="12"/>
  <c r="H60" i="12"/>
  <c r="E59" i="12"/>
  <c r="C58" i="12"/>
  <c r="E55" i="12"/>
  <c r="C54" i="12"/>
  <c r="E47" i="12"/>
  <c r="C46" i="12"/>
  <c r="G44" i="12"/>
  <c r="F26" i="6"/>
  <c r="F21" i="6"/>
  <c r="F16" i="6"/>
  <c r="F11" i="6"/>
  <c r="F6" i="6"/>
  <c r="F67" i="7"/>
  <c r="F44" i="7"/>
  <c r="J49" i="7"/>
  <c r="J45" i="7"/>
  <c r="J38" i="7"/>
  <c r="J34" i="7"/>
  <c r="M25" i="7"/>
  <c r="M21" i="7"/>
  <c r="F25" i="7"/>
  <c r="J10" i="7"/>
  <c r="J7" i="7"/>
  <c r="G30" i="8"/>
  <c r="G10" i="8"/>
  <c r="N181" i="9"/>
  <c r="L178" i="9"/>
  <c r="C180" i="9"/>
  <c r="N158" i="9"/>
  <c r="E164" i="9"/>
  <c r="C159" i="9"/>
  <c r="N139" i="9"/>
  <c r="L136" i="9"/>
  <c r="C138" i="9"/>
  <c r="N116" i="9"/>
  <c r="E122" i="9"/>
  <c r="C117" i="9"/>
  <c r="N95" i="9"/>
  <c r="E101" i="9"/>
  <c r="C96" i="9"/>
  <c r="N74" i="9"/>
  <c r="E80" i="9"/>
  <c r="C75" i="9"/>
  <c r="N55" i="9"/>
  <c r="L52" i="9"/>
  <c r="C54" i="9"/>
  <c r="N34" i="9"/>
  <c r="L31" i="9"/>
  <c r="C33" i="9"/>
  <c r="N10" i="9"/>
  <c r="E16" i="9"/>
  <c r="C11" i="9"/>
  <c r="E14" i="15"/>
  <c r="C12" i="15"/>
  <c r="G8" i="15"/>
  <c r="E7" i="15"/>
  <c r="E14" i="14"/>
  <c r="H12" i="14"/>
  <c r="G8" i="14"/>
  <c r="E7" i="14"/>
  <c r="D15" i="13"/>
  <c r="H12" i="13"/>
  <c r="F8" i="13"/>
  <c r="D7" i="13"/>
  <c r="C66" i="12"/>
  <c r="G60" i="12"/>
  <c r="D59" i="12"/>
  <c r="F56" i="12"/>
  <c r="D55" i="12"/>
  <c r="H49" i="12"/>
  <c r="F48" i="12"/>
  <c r="D47" i="12"/>
  <c r="H45" i="12"/>
  <c r="F44" i="12"/>
  <c r="D43" i="12"/>
  <c r="F40" i="12"/>
  <c r="D39" i="12"/>
  <c r="E26" i="6"/>
  <c r="E21" i="6"/>
  <c r="E16" i="6"/>
  <c r="E11" i="6"/>
  <c r="E6" i="6"/>
  <c r="F60" i="7"/>
  <c r="F38" i="7"/>
  <c r="M47" i="7"/>
  <c r="M44" i="7"/>
  <c r="M36" i="7"/>
  <c r="M33" i="7"/>
  <c r="M23" i="7"/>
  <c r="M20" i="7"/>
  <c r="J12" i="7"/>
  <c r="J8" i="7"/>
  <c r="F12" i="7"/>
  <c r="G29" i="8"/>
  <c r="G7" i="8"/>
  <c r="N180" i="9"/>
  <c r="L177" i="9"/>
  <c r="C179" i="9"/>
  <c r="N157" i="9"/>
  <c r="C164" i="9"/>
  <c r="C158" i="9"/>
  <c r="N138" i="9"/>
  <c r="L135" i="9"/>
  <c r="C137" i="9"/>
  <c r="N115" i="9"/>
  <c r="C122" i="9"/>
  <c r="C116" i="9"/>
  <c r="N94" i="9"/>
  <c r="C101" i="9"/>
  <c r="C95" i="9"/>
  <c r="N73" i="9"/>
  <c r="C80" i="9"/>
  <c r="C74" i="9"/>
  <c r="N54" i="9"/>
  <c r="L51" i="9"/>
  <c r="C53" i="9"/>
  <c r="N33" i="9"/>
  <c r="L30" i="9"/>
  <c r="C32" i="9"/>
  <c r="N9" i="9"/>
  <c r="E12" i="9"/>
  <c r="C10" i="9"/>
  <c r="D14" i="15"/>
  <c r="H11" i="15"/>
  <c r="F8" i="15"/>
  <c r="D7" i="15"/>
  <c r="D14" i="14"/>
  <c r="H11" i="14"/>
  <c r="F8" i="14"/>
  <c r="D7" i="14"/>
  <c r="C15" i="13"/>
  <c r="G12" i="13"/>
  <c r="E8" i="13"/>
  <c r="C7" i="13"/>
  <c r="E60" i="12"/>
  <c r="F60" i="12" s="1"/>
  <c r="C59" i="12"/>
  <c r="E56" i="12"/>
  <c r="C55" i="12"/>
  <c r="G49" i="12"/>
  <c r="E48" i="12"/>
  <c r="C47" i="12"/>
  <c r="G45" i="12"/>
  <c r="E44" i="12"/>
  <c r="C43" i="12"/>
  <c r="E40" i="12"/>
  <c r="C39" i="12"/>
  <c r="D26" i="6"/>
  <c r="D21" i="6"/>
  <c r="D16" i="6"/>
  <c r="D11" i="6"/>
  <c r="D6" i="6"/>
  <c r="F58" i="7"/>
  <c r="F36" i="7"/>
  <c r="L47" i="7"/>
  <c r="L44" i="7"/>
  <c r="L36" i="7"/>
  <c r="L33" i="7"/>
  <c r="L23" i="7"/>
  <c r="L20" i="7"/>
  <c r="K12" i="7"/>
  <c r="K8" i="7"/>
  <c r="F10" i="7"/>
  <c r="G28" i="8"/>
  <c r="G6" i="8"/>
  <c r="N179" i="9"/>
  <c r="E181" i="9"/>
  <c r="C178" i="9"/>
  <c r="N156" i="9"/>
  <c r="E160" i="9"/>
  <c r="C157" i="9"/>
  <c r="N137" i="9"/>
  <c r="E139" i="9"/>
  <c r="C136" i="9"/>
  <c r="N114" i="9"/>
  <c r="E118" i="9"/>
  <c r="C115" i="9"/>
  <c r="N93" i="9"/>
  <c r="E97" i="9"/>
  <c r="C94" i="9"/>
  <c r="N72" i="9"/>
  <c r="E76" i="9"/>
  <c r="C73" i="9"/>
  <c r="N53" i="9"/>
  <c r="E55" i="9"/>
  <c r="C52" i="9"/>
  <c r="N32" i="9"/>
  <c r="E34" i="9"/>
  <c r="C31" i="9"/>
  <c r="N8" i="9"/>
  <c r="E11" i="9"/>
  <c r="C9" i="9"/>
  <c r="C14" i="15"/>
  <c r="G11" i="15"/>
  <c r="E8" i="15"/>
  <c r="C7" i="15"/>
  <c r="C14" i="14"/>
  <c r="G11" i="14"/>
  <c r="E8" i="14"/>
  <c r="C7" i="14"/>
  <c r="H13" i="13"/>
  <c r="F12" i="13"/>
  <c r="D8" i="13"/>
  <c r="A1" i="13"/>
  <c r="D60" i="12"/>
  <c r="F57" i="12"/>
  <c r="D56" i="12"/>
  <c r="F49" i="12"/>
  <c r="D48" i="12"/>
  <c r="F45" i="12"/>
  <c r="D44" i="12"/>
  <c r="F41" i="12"/>
  <c r="D40" i="12"/>
  <c r="F37" i="12"/>
  <c r="C26" i="6"/>
  <c r="C21" i="6"/>
  <c r="C16" i="6"/>
  <c r="C11" i="6"/>
  <c r="C6" i="6"/>
  <c r="F56" i="7"/>
  <c r="F34" i="7"/>
  <c r="K47" i="7"/>
  <c r="K44" i="7"/>
  <c r="K36" i="7"/>
  <c r="K33" i="7"/>
  <c r="K23" i="7"/>
  <c r="K20" i="7"/>
  <c r="L12" i="7"/>
  <c r="L8" i="7"/>
  <c r="F8" i="7"/>
  <c r="G25" i="8"/>
  <c r="A1" i="8"/>
  <c r="N178" i="9"/>
  <c r="E180" i="9"/>
  <c r="C177" i="9"/>
  <c r="L160" i="9"/>
  <c r="E159" i="9"/>
  <c r="C156" i="9"/>
  <c r="N136" i="9"/>
  <c r="E138" i="9"/>
  <c r="C135" i="9"/>
  <c r="L118" i="9"/>
  <c r="E117" i="9"/>
  <c r="C114" i="9"/>
  <c r="L97" i="9"/>
  <c r="E96" i="9"/>
  <c r="C93" i="9"/>
  <c r="L76" i="9"/>
  <c r="E75" i="9"/>
  <c r="C72" i="9"/>
  <c r="N52" i="9"/>
  <c r="E54" i="9"/>
  <c r="C51" i="9"/>
  <c r="N31" i="9"/>
  <c r="E33" i="9"/>
  <c r="C30" i="9"/>
  <c r="L12" i="9"/>
  <c r="E10" i="9"/>
  <c r="C8" i="9"/>
  <c r="H12" i="15"/>
  <c r="F11" i="15"/>
  <c r="D8" i="15"/>
  <c r="A1" i="15"/>
  <c r="C12" i="14"/>
  <c r="F11" i="14"/>
  <c r="D8" i="14"/>
  <c r="A2" i="14"/>
  <c r="G13" i="13"/>
  <c r="E12" i="13"/>
  <c r="C8" i="13"/>
  <c r="F65" i="12"/>
  <c r="C60" i="12"/>
  <c r="E57" i="12"/>
  <c r="C56" i="12"/>
  <c r="E49" i="12"/>
  <c r="C48" i="12"/>
  <c r="E45" i="12"/>
  <c r="C44" i="12"/>
  <c r="E41" i="12"/>
  <c r="C40" i="12"/>
  <c r="E37" i="12"/>
  <c r="F27" i="6"/>
  <c r="F22" i="6"/>
  <c r="F17" i="6"/>
  <c r="F12" i="6"/>
  <c r="F7" i="6"/>
  <c r="A1" i="6"/>
  <c r="F55" i="7"/>
  <c r="F33" i="7"/>
  <c r="J47" i="7"/>
  <c r="J44" i="7"/>
  <c r="J36" i="7"/>
  <c r="J33" i="7"/>
  <c r="J23" i="7"/>
  <c r="J20" i="7"/>
  <c r="M12" i="7"/>
  <c r="M8" i="7"/>
  <c r="F7" i="7"/>
  <c r="G24" i="8"/>
  <c r="N185" i="9"/>
  <c r="N177" i="9"/>
  <c r="E179" i="9"/>
  <c r="N164" i="9"/>
  <c r="L159" i="9"/>
  <c r="E158" i="9"/>
  <c r="N143" i="9"/>
  <c r="N135" i="9"/>
  <c r="E137" i="9"/>
  <c r="N122" i="9"/>
  <c r="L117" i="9"/>
  <c r="E116" i="9"/>
  <c r="N101" i="9"/>
  <c r="L96" i="9"/>
  <c r="E95" i="9"/>
  <c r="N80" i="9"/>
  <c r="L75" i="9"/>
  <c r="E74" i="9"/>
  <c r="N59" i="9"/>
  <c r="N51" i="9"/>
  <c r="E53" i="9"/>
  <c r="N38" i="9"/>
  <c r="N30" i="9"/>
  <c r="E32" i="9"/>
  <c r="N16" i="9"/>
  <c r="L11" i="9"/>
  <c r="E9" i="9"/>
  <c r="A1" i="9"/>
  <c r="G12" i="15"/>
  <c r="D27" i="6"/>
  <c r="D22" i="6"/>
  <c r="D17" i="6"/>
  <c r="D12" i="6"/>
  <c r="D7" i="6"/>
  <c r="F70" i="7"/>
  <c r="F47" i="7"/>
  <c r="L49" i="7"/>
  <c r="L45" i="7"/>
  <c r="L38" i="7"/>
  <c r="L34" i="7"/>
  <c r="K25" i="7"/>
  <c r="K21" i="7"/>
  <c r="F21" i="7"/>
  <c r="L10" i="7"/>
  <c r="L7" i="7"/>
  <c r="G32" i="8"/>
  <c r="G12" i="8"/>
  <c r="E185" i="9"/>
  <c r="L180" i="9"/>
  <c r="E177" i="9"/>
  <c r="E22" i="6"/>
  <c r="M38" i="7"/>
  <c r="G14" i="8"/>
  <c r="E157" i="9"/>
  <c r="L122" i="9"/>
  <c r="L95" i="9"/>
  <c r="E73" i="9"/>
  <c r="L38" i="9"/>
  <c r="L10" i="9"/>
  <c r="E11" i="15"/>
  <c r="G14" i="14"/>
  <c r="H7" i="14"/>
  <c r="D12" i="13"/>
  <c r="F59" i="12"/>
  <c r="C42" i="12"/>
  <c r="E39" i="12"/>
  <c r="E32" i="12"/>
  <c r="C28" i="12"/>
  <c r="E25" i="12"/>
  <c r="C24" i="12"/>
  <c r="E18" i="12"/>
  <c r="C17" i="12"/>
  <c r="E14" i="12"/>
  <c r="C13" i="12"/>
  <c r="E10" i="12"/>
  <c r="C9" i="12"/>
  <c r="G3" i="12"/>
  <c r="C53" i="10"/>
  <c r="E49" i="10"/>
  <c r="C48" i="10"/>
  <c r="E43" i="10"/>
  <c r="C42" i="10"/>
  <c r="E39" i="10"/>
  <c r="C34" i="10"/>
  <c r="E29" i="10"/>
  <c r="H27" i="10"/>
  <c r="F26" i="10"/>
  <c r="D20" i="10"/>
  <c r="H18" i="10"/>
  <c r="F17" i="10"/>
  <c r="D14" i="10"/>
  <c r="H12" i="10"/>
  <c r="F11" i="10"/>
  <c r="D10" i="10"/>
  <c r="H8" i="10"/>
  <c r="F7" i="10"/>
  <c r="H36" i="11"/>
  <c r="C36" i="11"/>
  <c r="E32" i="11"/>
  <c r="H26" i="11"/>
  <c r="C26" i="11"/>
  <c r="I19" i="11"/>
  <c r="D19" i="11"/>
  <c r="D18" i="11"/>
  <c r="G14" i="11"/>
  <c r="H11" i="11"/>
  <c r="E13" i="11"/>
  <c r="I9" i="11"/>
  <c r="G8" i="11"/>
  <c r="F71" i="12" s="1"/>
  <c r="E11" i="10"/>
  <c r="C10" i="10"/>
  <c r="E7" i="10"/>
  <c r="G37" i="11"/>
  <c r="I33" i="11"/>
  <c r="D33" i="11"/>
  <c r="G27" i="11"/>
  <c r="I22" i="11"/>
  <c r="E17" i="6"/>
  <c r="M34" i="7"/>
  <c r="L185" i="9"/>
  <c r="E156" i="9"/>
  <c r="N118" i="9"/>
  <c r="L94" i="9"/>
  <c r="E72" i="9"/>
  <c r="E38" i="9"/>
  <c r="L9" i="9"/>
  <c r="D11" i="15"/>
  <c r="D12" i="14"/>
  <c r="G7" i="14"/>
  <c r="C12" i="13"/>
  <c r="F66" i="12"/>
  <c r="F58" i="12"/>
  <c r="F55" i="12"/>
  <c r="H43" i="12"/>
  <c r="D41" i="12"/>
  <c r="F38" i="12"/>
  <c r="F33" i="12"/>
  <c r="D32" i="12"/>
  <c r="F26" i="12"/>
  <c r="D25" i="12"/>
  <c r="H20" i="12"/>
  <c r="F19" i="12"/>
  <c r="D18" i="12"/>
  <c r="F15" i="12"/>
  <c r="D14" i="12"/>
  <c r="F11" i="12"/>
  <c r="D10" i="12"/>
  <c r="F3" i="12"/>
  <c r="F22" i="10"/>
  <c r="H51" i="10"/>
  <c r="F50" i="10"/>
  <c r="D49" i="10"/>
  <c r="H47" i="10"/>
  <c r="F46" i="10"/>
  <c r="D43" i="10"/>
  <c r="H41" i="10"/>
  <c r="F40" i="10"/>
  <c r="D39" i="10"/>
  <c r="H31" i="10"/>
  <c r="C29" i="10"/>
  <c r="E26" i="10"/>
  <c r="C20" i="10"/>
  <c r="E17" i="10"/>
  <c r="C14" i="10"/>
  <c r="E12" i="6"/>
  <c r="J25" i="7"/>
  <c r="L181" i="9"/>
  <c r="L143" i="9"/>
  <c r="L116" i="9"/>
  <c r="E94" i="9"/>
  <c r="L59" i="9"/>
  <c r="L34" i="9"/>
  <c r="E8" i="9"/>
  <c r="C11" i="15"/>
  <c r="E12" i="14"/>
  <c r="H15" i="13"/>
  <c r="H8" i="13"/>
  <c r="E66" i="12"/>
  <c r="E58" i="12"/>
  <c r="F54" i="12"/>
  <c r="F47" i="12"/>
  <c r="G43" i="12"/>
  <c r="C41" i="12"/>
  <c r="E38" i="12"/>
  <c r="E33" i="12"/>
  <c r="C32" i="12"/>
  <c r="E26" i="12"/>
  <c r="C25" i="12"/>
  <c r="G20" i="12"/>
  <c r="E19" i="12"/>
  <c r="C18" i="12"/>
  <c r="E15" i="12"/>
  <c r="C14" i="12"/>
  <c r="E11" i="12"/>
  <c r="C10" i="12"/>
  <c r="E3" i="12"/>
  <c r="E22" i="10"/>
  <c r="E50" i="10"/>
  <c r="C49" i="10"/>
  <c r="E46" i="10"/>
  <c r="C43" i="10"/>
  <c r="E40" i="10"/>
  <c r="C39" i="10"/>
  <c r="E30" i="10"/>
  <c r="H28" i="10"/>
  <c r="D26" i="10"/>
  <c r="H19" i="10"/>
  <c r="F18" i="10"/>
  <c r="D17" i="10"/>
  <c r="H13" i="10"/>
  <c r="F12" i="10"/>
  <c r="D11" i="10"/>
  <c r="H9" i="10"/>
  <c r="F8" i="10"/>
  <c r="D7" i="10"/>
  <c r="G36" i="11"/>
  <c r="I32" i="11"/>
  <c r="D32" i="11"/>
  <c r="G26" i="11"/>
  <c r="H22" i="11"/>
  <c r="H20" i="11"/>
  <c r="C20" i="11"/>
  <c r="C11" i="11"/>
  <c r="H13" i="11"/>
  <c r="E15" i="11"/>
  <c r="C13" i="11"/>
  <c r="G9" i="11"/>
  <c r="D8" i="11"/>
  <c r="F42" i="10"/>
  <c r="D31" i="10"/>
  <c r="C18" i="10"/>
  <c r="E7" i="6"/>
  <c r="J21" i="7"/>
  <c r="E178" i="9"/>
  <c r="E143" i="9"/>
  <c r="L115" i="9"/>
  <c r="E93" i="9"/>
  <c r="E59" i="9"/>
  <c r="L33" i="9"/>
  <c r="C16" i="9"/>
  <c r="C8" i="15"/>
  <c r="F12" i="14"/>
  <c r="G15" i="13"/>
  <c r="H7" i="13"/>
  <c r="E65" i="12"/>
  <c r="D58" i="12"/>
  <c r="E54" i="12"/>
  <c r="F46" i="12"/>
  <c r="F43" i="12"/>
  <c r="D38" i="12"/>
  <c r="D33" i="12"/>
  <c r="H28" i="12"/>
  <c r="F27" i="12"/>
  <c r="D26" i="12"/>
  <c r="F20" i="12"/>
  <c r="D19" i="12"/>
  <c r="H17" i="12"/>
  <c r="F16" i="12"/>
  <c r="D15" i="12"/>
  <c r="F12" i="12"/>
  <c r="D11" i="12"/>
  <c r="F4" i="12"/>
  <c r="D3" i="12"/>
  <c r="D22" i="10"/>
  <c r="H53" i="10"/>
  <c r="F51" i="10"/>
  <c r="D50" i="10"/>
  <c r="H48" i="10"/>
  <c r="F47" i="10"/>
  <c r="D46" i="10"/>
  <c r="H42" i="10"/>
  <c r="F41" i="10"/>
  <c r="D40" i="10"/>
  <c r="H34" i="10"/>
  <c r="D30" i="10"/>
  <c r="E27" i="10"/>
  <c r="C26" i="10"/>
  <c r="E18" i="10"/>
  <c r="C17" i="10"/>
  <c r="E12" i="10"/>
  <c r="C11" i="10"/>
  <c r="E8" i="10"/>
  <c r="C7" i="10"/>
  <c r="E37" i="11"/>
  <c r="H33" i="11"/>
  <c r="C33" i="11"/>
  <c r="E27" i="11"/>
  <c r="G22" i="11"/>
  <c r="H19" i="11"/>
  <c r="C19" i="11"/>
  <c r="I15" i="11"/>
  <c r="G13" i="11"/>
  <c r="D15" i="11"/>
  <c r="E12" i="11"/>
  <c r="E9" i="11"/>
  <c r="C8" i="11"/>
  <c r="H39" i="10"/>
  <c r="H29" i="10"/>
  <c r="C27" i="10"/>
  <c r="F72" i="7"/>
  <c r="F20" i="7"/>
  <c r="L164" i="9"/>
  <c r="L139" i="9"/>
  <c r="E115" i="9"/>
  <c r="L80" i="9"/>
  <c r="L55" i="9"/>
  <c r="E31" i="9"/>
  <c r="H14" i="15"/>
  <c r="H7" i="15"/>
  <c r="E11" i="14"/>
  <c r="F15" i="13"/>
  <c r="G7" i="13"/>
  <c r="D65" i="12"/>
  <c r="D57" i="12"/>
  <c r="D54" i="12"/>
  <c r="E46" i="12"/>
  <c r="E43" i="12"/>
  <c r="C38" i="12"/>
  <c r="C33" i="12"/>
  <c r="G28" i="12"/>
  <c r="E27" i="12"/>
  <c r="C26" i="12"/>
  <c r="E20" i="12"/>
  <c r="C19" i="12"/>
  <c r="G17" i="12"/>
  <c r="E16" i="12"/>
  <c r="C15" i="12"/>
  <c r="E12" i="12"/>
  <c r="C11" i="12"/>
  <c r="E4" i="12"/>
  <c r="C3" i="12"/>
  <c r="C22" i="10"/>
  <c r="E51" i="10"/>
  <c r="C50" i="10"/>
  <c r="E47" i="10"/>
  <c r="C46" i="10"/>
  <c r="E41" i="10"/>
  <c r="C40" i="10"/>
  <c r="E31" i="10"/>
  <c r="C30" i="10"/>
  <c r="D27" i="10"/>
  <c r="F19" i="10"/>
  <c r="D18" i="10"/>
  <c r="H14" i="10"/>
  <c r="F13" i="10"/>
  <c r="D12" i="10"/>
  <c r="H10" i="10"/>
  <c r="F9" i="10"/>
  <c r="D8" i="10"/>
  <c r="A1" i="10"/>
  <c r="E36" i="11"/>
  <c r="H32" i="11"/>
  <c r="C32" i="11"/>
  <c r="E26" i="11"/>
  <c r="E22" i="11"/>
  <c r="G20" i="11"/>
  <c r="I18" i="11"/>
  <c r="H15" i="11"/>
  <c r="I12" i="11"/>
  <c r="C15" i="11"/>
  <c r="D9" i="11"/>
  <c r="A1" i="11"/>
  <c r="D41" i="10"/>
  <c r="F34" i="10"/>
  <c r="E28" i="10"/>
  <c r="E19" i="10"/>
  <c r="F49" i="7"/>
  <c r="M10" i="7"/>
  <c r="N160" i="9"/>
  <c r="L138" i="9"/>
  <c r="E114" i="9"/>
  <c r="N76" i="9"/>
  <c r="L54" i="9"/>
  <c r="E30" i="9"/>
  <c r="G14" i="15"/>
  <c r="G7" i="15"/>
  <c r="D11" i="14"/>
  <c r="F13" i="13"/>
  <c r="F7" i="13"/>
  <c r="C65" i="12"/>
  <c r="C57" i="12"/>
  <c r="D49" i="12"/>
  <c r="D46" i="12"/>
  <c r="F42" i="12"/>
  <c r="H39" i="12"/>
  <c r="D37" i="12"/>
  <c r="F28" i="12"/>
  <c r="D27" i="12"/>
  <c r="F24" i="12"/>
  <c r="D20" i="12"/>
  <c r="F17" i="12"/>
  <c r="D16" i="12"/>
  <c r="F13" i="12"/>
  <c r="D12" i="12"/>
  <c r="F9" i="12"/>
  <c r="D4" i="12"/>
  <c r="A1" i="12"/>
  <c r="F53" i="10"/>
  <c r="D51" i="10"/>
  <c r="H49" i="10"/>
  <c r="F48" i="10"/>
  <c r="D47" i="10"/>
  <c r="E27" i="6"/>
  <c r="M45" i="7"/>
  <c r="A1" i="7"/>
  <c r="L157" i="9"/>
  <c r="E135" i="9"/>
  <c r="N97" i="9"/>
  <c r="L73" i="9"/>
  <c r="E51" i="9"/>
  <c r="N12" i="9"/>
  <c r="E12" i="15"/>
  <c r="H14" i="14"/>
  <c r="C8" i="14"/>
  <c r="D13" i="13"/>
  <c r="C12" i="11"/>
  <c r="H12" i="11"/>
  <c r="H18" i="11"/>
  <c r="D22" i="11"/>
  <c r="G32" i="11"/>
  <c r="F14" i="10"/>
  <c r="H26" i="10"/>
  <c r="E34" i="10"/>
  <c r="H50" i="10"/>
  <c r="D13" i="12"/>
  <c r="F18" i="12"/>
  <c r="F39" i="12"/>
  <c r="L101" i="9"/>
  <c r="C27" i="11"/>
  <c r="C28" i="10"/>
  <c r="C4" i="12"/>
  <c r="H8" i="11"/>
  <c r="D26" i="11"/>
  <c r="H17" i="10"/>
  <c r="H46" i="10"/>
  <c r="D9" i="12"/>
  <c r="F14" i="12"/>
  <c r="D28" i="12"/>
  <c r="G59" i="12"/>
  <c r="D14" i="11"/>
  <c r="E20" i="11"/>
  <c r="D27" i="11"/>
  <c r="D36" i="11"/>
  <c r="C9" i="10"/>
  <c r="C12" i="10"/>
  <c r="C19" i="10"/>
  <c r="H40" i="10"/>
  <c r="C47" i="10"/>
  <c r="E53" i="10"/>
  <c r="E9" i="12"/>
  <c r="C20" i="12"/>
  <c r="E28" i="12"/>
  <c r="E42" i="12"/>
  <c r="H59" i="12"/>
  <c r="M7" i="7"/>
  <c r="I13" i="11"/>
  <c r="C27" i="12"/>
  <c r="H11" i="10"/>
  <c r="L158" i="9"/>
  <c r="G19" i="11"/>
  <c r="D9" i="10"/>
  <c r="D19" i="10"/>
  <c r="C41" i="10"/>
  <c r="F10" i="12"/>
  <c r="D24" i="12"/>
  <c r="F32" i="12"/>
  <c r="C45" i="12"/>
  <c r="F12" i="15"/>
  <c r="M49" i="7"/>
  <c r="G33" i="11"/>
  <c r="F39" i="10"/>
  <c r="E13" i="13"/>
  <c r="H14" i="11"/>
  <c r="C8" i="10"/>
  <c r="D53" i="10"/>
  <c r="D42" i="12"/>
  <c r="I8" i="11"/>
  <c r="I14" i="11"/>
  <c r="C9" i="11"/>
  <c r="E14" i="11"/>
  <c r="G15" i="11"/>
  <c r="H27" i="11"/>
  <c r="D37" i="11"/>
  <c r="C13" i="10"/>
  <c r="D48" i="10"/>
  <c r="H9" i="11"/>
  <c r="G11" i="11"/>
  <c r="C18" i="11"/>
  <c r="I20" i="11"/>
  <c r="I26" i="11"/>
  <c r="H37" i="11"/>
  <c r="E9" i="10"/>
  <c r="D13" i="10"/>
  <c r="E20" i="10"/>
  <c r="H30" i="10"/>
  <c r="D42" i="10"/>
  <c r="E48" i="10"/>
  <c r="C16" i="12"/>
  <c r="E24" i="12"/>
  <c r="D45" i="12"/>
  <c r="L16" i="9"/>
  <c r="E8" i="11"/>
  <c r="D20" i="11"/>
  <c r="H43" i="10"/>
  <c r="E13" i="12"/>
  <c r="G39" i="12"/>
  <c r="E19" i="11"/>
  <c r="D28" i="10"/>
  <c r="C11" i="14"/>
  <c r="D11" i="11"/>
  <c r="I11" i="11"/>
  <c r="E18" i="11"/>
  <c r="I27" i="11"/>
  <c r="E10" i="10"/>
  <c r="E13" i="10"/>
  <c r="F20" i="10"/>
  <c r="C31" i="10"/>
  <c r="E42" i="10"/>
  <c r="F49" i="10"/>
  <c r="H22" i="10"/>
  <c r="D17" i="12"/>
  <c r="F25" i="12"/>
  <c r="E52" i="9"/>
  <c r="H7" i="10"/>
  <c r="C51" i="10"/>
  <c r="E136" i="9"/>
  <c r="C14" i="11"/>
  <c r="C37" i="11"/>
  <c r="E11" i="11"/>
  <c r="G12" i="11"/>
  <c r="G18" i="11"/>
  <c r="C22" i="11"/>
  <c r="E33" i="11"/>
  <c r="I37" i="11"/>
  <c r="F10" i="10"/>
  <c r="E14" i="10"/>
  <c r="D34" i="10"/>
  <c r="F43" i="10"/>
  <c r="D29" i="10"/>
  <c r="C12" i="12"/>
  <c r="E17" i="12"/>
  <c r="G25" i="12"/>
  <c r="C37" i="12"/>
  <c r="C72" i="12" s="1"/>
  <c r="C49" i="12"/>
  <c r="L74" i="9"/>
  <c r="H71" i="12" l="1"/>
  <c r="D71" i="12"/>
  <c r="J26" i="11"/>
  <c r="J36" i="11"/>
  <c r="J13" i="11"/>
  <c r="K13" i="11" s="1"/>
  <c r="J9" i="11"/>
  <c r="K9" i="11" s="1"/>
  <c r="N44" i="7"/>
  <c r="G33" i="10"/>
  <c r="J8" i="11"/>
  <c r="J15" i="11"/>
  <c r="J19" i="11"/>
  <c r="K19" i="11" s="1"/>
  <c r="N45" i="7"/>
  <c r="N47" i="7"/>
  <c r="J18" i="11"/>
  <c r="E33" i="10"/>
  <c r="J33" i="11"/>
  <c r="J20" i="11"/>
  <c r="H33" i="10"/>
  <c r="F18" i="11"/>
  <c r="J32" i="11"/>
  <c r="J37" i="11"/>
  <c r="J27" i="11"/>
  <c r="J12" i="11"/>
  <c r="K12" i="11" s="1"/>
  <c r="F33" i="10"/>
  <c r="J22" i="11"/>
  <c r="K22" i="11" s="1"/>
  <c r="J11" i="11"/>
  <c r="K11" i="11" s="1"/>
  <c r="C33" i="10"/>
  <c r="D33" i="10"/>
  <c r="N49" i="7"/>
  <c r="N36" i="7" l="1"/>
  <c r="N34" i="7"/>
  <c r="N33" i="7"/>
  <c r="N38" i="7" l="1"/>
  <c r="N23" i="7" l="1"/>
  <c r="N21" i="7"/>
  <c r="N20" i="7"/>
  <c r="N25" i="7" l="1"/>
  <c r="N10" i="7" l="1"/>
  <c r="N8" i="7"/>
  <c r="N7" i="7"/>
  <c r="N12" i="7"/>
  <c r="F73" i="7" l="1"/>
  <c r="F71" i="7"/>
  <c r="F69" i="7"/>
  <c r="F35" i="7"/>
  <c r="F37" i="7"/>
  <c r="F39" i="7"/>
  <c r="N13" i="7"/>
  <c r="M13" i="7"/>
  <c r="L13" i="7"/>
  <c r="K13" i="7"/>
  <c r="J13" i="7"/>
  <c r="F13" i="7"/>
  <c r="F61" i="7"/>
  <c r="F59" i="7"/>
  <c r="F57" i="7"/>
  <c r="N50" i="7"/>
  <c r="M50" i="7"/>
  <c r="L50" i="7"/>
  <c r="K50" i="7"/>
  <c r="J50" i="7"/>
  <c r="F50" i="7"/>
  <c r="N48" i="7"/>
  <c r="M48" i="7"/>
  <c r="L48" i="7"/>
  <c r="K48" i="7"/>
  <c r="J48" i="7"/>
  <c r="F48" i="7"/>
  <c r="N46" i="7"/>
  <c r="M46" i="7"/>
  <c r="L46" i="7"/>
  <c r="K46" i="7"/>
  <c r="J46" i="7"/>
  <c r="F46" i="7"/>
  <c r="N39" i="7"/>
  <c r="M39" i="7"/>
  <c r="L39" i="7"/>
  <c r="K39" i="7"/>
  <c r="J39" i="7"/>
  <c r="N37" i="7"/>
  <c r="M37" i="7"/>
  <c r="L37" i="7"/>
  <c r="K37" i="7"/>
  <c r="J37" i="7"/>
  <c r="N35" i="7"/>
  <c r="M35" i="7"/>
  <c r="L35" i="7"/>
  <c r="K35" i="7"/>
  <c r="J35" i="7"/>
  <c r="N26" i="7"/>
  <c r="M26" i="7"/>
  <c r="L26" i="7"/>
  <c r="K26" i="7"/>
  <c r="J26" i="7"/>
  <c r="N24" i="7"/>
  <c r="M24" i="7"/>
  <c r="L24" i="7"/>
  <c r="K24" i="7"/>
  <c r="J24" i="7"/>
  <c r="N22" i="7"/>
  <c r="M22" i="7"/>
  <c r="L22" i="7"/>
  <c r="K22" i="7"/>
  <c r="J22" i="7"/>
  <c r="F22" i="7"/>
  <c r="F26" i="7"/>
  <c r="F24" i="7"/>
  <c r="N11" i="7"/>
  <c r="M11" i="7"/>
  <c r="L11" i="7"/>
  <c r="K11" i="7"/>
  <c r="J11" i="7"/>
  <c r="N9" i="7"/>
  <c r="M9" i="7"/>
  <c r="L9" i="7"/>
  <c r="K9" i="7"/>
  <c r="J9" i="7"/>
  <c r="F11" i="7"/>
  <c r="F9" i="7"/>
  <c r="N31" i="8"/>
  <c r="J33" i="8"/>
  <c r="J32" i="8"/>
  <c r="N32" i="8"/>
  <c r="J31" i="8"/>
  <c r="N30" i="8"/>
  <c r="J30" i="8"/>
  <c r="J29" i="8"/>
  <c r="N29" i="8"/>
  <c r="J26" i="8"/>
  <c r="G26" i="8"/>
  <c r="N25" i="8"/>
  <c r="N24" i="8"/>
  <c r="J24" i="8"/>
  <c r="J14" i="8"/>
  <c r="J13" i="8"/>
  <c r="J12" i="8"/>
  <c r="N12" i="8"/>
  <c r="N14" i="8"/>
  <c r="N6" i="8"/>
  <c r="J15" i="8"/>
  <c r="J11" i="8"/>
  <c r="J8" i="8"/>
  <c r="J6" i="8"/>
  <c r="N209" i="9"/>
  <c r="L209" i="9"/>
  <c r="K190" i="9"/>
  <c r="Q185" i="9"/>
  <c r="Q181" i="9"/>
  <c r="P181" i="9"/>
  <c r="P180" i="9"/>
  <c r="Q179" i="9"/>
  <c r="P178" i="9"/>
  <c r="L183" i="9"/>
  <c r="Q177" i="9"/>
  <c r="P177" i="9"/>
  <c r="K172" i="9"/>
  <c r="N169" i="9"/>
  <c r="L169" i="9"/>
  <c r="Q167" i="9"/>
  <c r="P167" i="9"/>
  <c r="Q164" i="9"/>
  <c r="Q160" i="9"/>
  <c r="P160" i="9"/>
  <c r="P159" i="9"/>
  <c r="Q159" i="9"/>
  <c r="Q158" i="9"/>
  <c r="P158" i="9"/>
  <c r="P157" i="9"/>
  <c r="Q157" i="9"/>
  <c r="Q156" i="9"/>
  <c r="K151" i="9"/>
  <c r="N148" i="9"/>
  <c r="Q146" i="9"/>
  <c r="P146" i="9"/>
  <c r="Q143" i="9"/>
  <c r="P143" i="9"/>
  <c r="P139" i="9"/>
  <c r="P138" i="9"/>
  <c r="Q138" i="9"/>
  <c r="Q137" i="9"/>
  <c r="P137" i="9"/>
  <c r="Q136" i="9"/>
  <c r="P136" i="9"/>
  <c r="P135" i="9"/>
  <c r="K130" i="9"/>
  <c r="N127" i="9"/>
  <c r="L127" i="9"/>
  <c r="Q125" i="9"/>
  <c r="P125" i="9"/>
  <c r="Q122" i="9"/>
  <c r="P118" i="9"/>
  <c r="Q117" i="9"/>
  <c r="P117" i="9"/>
  <c r="Q116" i="9"/>
  <c r="Q115" i="9"/>
  <c r="P115" i="9"/>
  <c r="P114" i="9"/>
  <c r="K109" i="9"/>
  <c r="N106" i="9"/>
  <c r="L106" i="9"/>
  <c r="Q104" i="9"/>
  <c r="P104" i="9"/>
  <c r="P101" i="9"/>
  <c r="Q97" i="9"/>
  <c r="Q96" i="9"/>
  <c r="P96" i="9"/>
  <c r="Q95" i="9"/>
  <c r="P94" i="9"/>
  <c r="N99" i="9"/>
  <c r="K88" i="9"/>
  <c r="N85" i="9"/>
  <c r="L85" i="9"/>
  <c r="Q83" i="9"/>
  <c r="P83" i="9"/>
  <c r="P80" i="9"/>
  <c r="Q76" i="9"/>
  <c r="P76" i="9"/>
  <c r="P75" i="9"/>
  <c r="Q74" i="9"/>
  <c r="P74" i="9"/>
  <c r="P73" i="9"/>
  <c r="Q72" i="9"/>
  <c r="N78" i="9"/>
  <c r="K67" i="9"/>
  <c r="N64" i="9"/>
  <c r="L64" i="9"/>
  <c r="Q62" i="9"/>
  <c r="P62" i="9"/>
  <c r="Q59" i="9"/>
  <c r="P59" i="9"/>
  <c r="Q55" i="9"/>
  <c r="P55" i="9"/>
  <c r="Q54" i="9"/>
  <c r="P53" i="9"/>
  <c r="Q51" i="9"/>
  <c r="P51" i="9"/>
  <c r="N57" i="9"/>
  <c r="L57" i="9"/>
  <c r="K46" i="9"/>
  <c r="Q41" i="9"/>
  <c r="P41" i="9"/>
  <c r="Q38" i="9"/>
  <c r="P38" i="9"/>
  <c r="P34" i="9"/>
  <c r="Q33" i="9"/>
  <c r="P32" i="9"/>
  <c r="Q31" i="9"/>
  <c r="N196" i="9"/>
  <c r="P31" i="9"/>
  <c r="P30" i="9"/>
  <c r="K25" i="9"/>
  <c r="N22" i="9"/>
  <c r="L22" i="9"/>
  <c r="Q20" i="9"/>
  <c r="P20" i="9"/>
  <c r="Q16" i="9"/>
  <c r="P16" i="9"/>
  <c r="N203" i="9"/>
  <c r="L203" i="9"/>
  <c r="Q12" i="9"/>
  <c r="P11" i="9"/>
  <c r="N197" i="9"/>
  <c r="Q9" i="9"/>
  <c r="P9" i="9"/>
  <c r="L196" i="9"/>
  <c r="L14" i="9"/>
  <c r="E209" i="9"/>
  <c r="C209" i="9"/>
  <c r="E193" i="9"/>
  <c r="C193" i="9"/>
  <c r="B190" i="9"/>
  <c r="G185" i="9"/>
  <c r="H181" i="9"/>
  <c r="G180" i="9"/>
  <c r="H180" i="9"/>
  <c r="G179" i="9"/>
  <c r="H179" i="9"/>
  <c r="E183" i="9"/>
  <c r="H178" i="9"/>
  <c r="C183" i="9"/>
  <c r="E175" i="9"/>
  <c r="C175" i="9"/>
  <c r="B172" i="9"/>
  <c r="E169" i="9"/>
  <c r="C169" i="9"/>
  <c r="H167" i="9"/>
  <c r="G167" i="9"/>
  <c r="E166" i="9"/>
  <c r="C166" i="9"/>
  <c r="H164" i="9"/>
  <c r="H160" i="9"/>
  <c r="H159" i="9"/>
  <c r="G159" i="9"/>
  <c r="G158" i="9"/>
  <c r="H158" i="9"/>
  <c r="H157" i="9"/>
  <c r="C162" i="9"/>
  <c r="E154" i="9"/>
  <c r="C154" i="9"/>
  <c r="B151" i="9"/>
  <c r="E148" i="9"/>
  <c r="C148" i="9"/>
  <c r="H146" i="9"/>
  <c r="G146" i="9"/>
  <c r="E145" i="9"/>
  <c r="C145" i="9"/>
  <c r="H143" i="9"/>
  <c r="H139" i="9"/>
  <c r="H138" i="9"/>
  <c r="G138" i="9"/>
  <c r="G137" i="9"/>
  <c r="H137" i="9"/>
  <c r="E141" i="9"/>
  <c r="F137" i="9" s="1"/>
  <c r="H136" i="9"/>
  <c r="C141" i="9"/>
  <c r="E133" i="9"/>
  <c r="C133" i="9"/>
  <c r="B130" i="9"/>
  <c r="E127" i="9"/>
  <c r="C127" i="9"/>
  <c r="H125" i="9"/>
  <c r="G125" i="9"/>
  <c r="E124" i="9"/>
  <c r="C124" i="9"/>
  <c r="H122" i="9"/>
  <c r="H118" i="9"/>
  <c r="H117" i="9"/>
  <c r="G117" i="9"/>
  <c r="G116" i="9"/>
  <c r="H116" i="9"/>
  <c r="E120" i="9"/>
  <c r="H115" i="9"/>
  <c r="C120" i="9"/>
  <c r="E112" i="9"/>
  <c r="C112" i="9"/>
  <c r="B109" i="9"/>
  <c r="E106" i="9"/>
  <c r="C106" i="9"/>
  <c r="H104" i="9"/>
  <c r="G104" i="9"/>
  <c r="E103" i="9"/>
  <c r="C103" i="9"/>
  <c r="H101" i="9"/>
  <c r="H97" i="9"/>
  <c r="H96" i="9"/>
  <c r="G96" i="9"/>
  <c r="G95" i="9"/>
  <c r="H95" i="9"/>
  <c r="E99" i="9"/>
  <c r="H94" i="9"/>
  <c r="C99" i="9"/>
  <c r="E91" i="9"/>
  <c r="C91" i="9"/>
  <c r="B88" i="9"/>
  <c r="E85" i="9"/>
  <c r="C85" i="9"/>
  <c r="H83" i="9"/>
  <c r="G83" i="9"/>
  <c r="E82" i="9"/>
  <c r="C82" i="9"/>
  <c r="H80" i="9"/>
  <c r="H76" i="9"/>
  <c r="H75" i="9"/>
  <c r="G75" i="9"/>
  <c r="G74" i="9"/>
  <c r="H74" i="9"/>
  <c r="E78" i="9"/>
  <c r="H73" i="9"/>
  <c r="H72" i="9"/>
  <c r="E70" i="9"/>
  <c r="C70" i="9"/>
  <c r="B67" i="9"/>
  <c r="E64" i="9"/>
  <c r="C64" i="9"/>
  <c r="H62" i="9"/>
  <c r="G62" i="9"/>
  <c r="E61" i="9"/>
  <c r="C61" i="9"/>
  <c r="H59" i="9"/>
  <c r="H55" i="9"/>
  <c r="H54" i="9"/>
  <c r="G54" i="9"/>
  <c r="G53" i="9"/>
  <c r="H53" i="9"/>
  <c r="H52" i="9"/>
  <c r="H51" i="9"/>
  <c r="E49" i="9"/>
  <c r="C49" i="9"/>
  <c r="B46" i="9"/>
  <c r="H41" i="9"/>
  <c r="G41" i="9"/>
  <c r="E40" i="9"/>
  <c r="C40" i="9"/>
  <c r="H38" i="9"/>
  <c r="H34" i="9"/>
  <c r="H33" i="9"/>
  <c r="G33" i="9"/>
  <c r="E36" i="9"/>
  <c r="H30" i="9"/>
  <c r="E28" i="9"/>
  <c r="C28" i="9"/>
  <c r="B25" i="9"/>
  <c r="E22" i="9"/>
  <c r="H21" i="9"/>
  <c r="H20" i="9"/>
  <c r="G20" i="9"/>
  <c r="E19" i="9"/>
  <c r="C19" i="9"/>
  <c r="E203" i="9"/>
  <c r="H12" i="9"/>
  <c r="H11" i="9"/>
  <c r="G11" i="9"/>
  <c r="E196" i="9"/>
  <c r="C196" i="9"/>
  <c r="H8" i="9"/>
  <c r="C43" i="9" l="1"/>
  <c r="C210" i="9"/>
  <c r="N43" i="9"/>
  <c r="N210" i="9"/>
  <c r="E43" i="9"/>
  <c r="E210" i="9"/>
  <c r="L43" i="9"/>
  <c r="L210" i="9"/>
  <c r="H106" i="9"/>
  <c r="G21" i="9"/>
  <c r="C22" i="9"/>
  <c r="H22" i="9" s="1"/>
  <c r="Q21" i="9"/>
  <c r="G84" i="9"/>
  <c r="G63" i="9"/>
  <c r="G42" i="9"/>
  <c r="G33" i="8"/>
  <c r="G27" i="8"/>
  <c r="O78" i="9"/>
  <c r="O75" i="9"/>
  <c r="O80" i="9"/>
  <c r="O74" i="9"/>
  <c r="O76" i="9"/>
  <c r="O72" i="9"/>
  <c r="O73" i="9"/>
  <c r="O99" i="9"/>
  <c r="O96" i="9"/>
  <c r="O94" i="9"/>
  <c r="O101" i="9"/>
  <c r="O95" i="9"/>
  <c r="O97" i="9"/>
  <c r="O93" i="9"/>
  <c r="M183" i="9"/>
  <c r="M177" i="9"/>
  <c r="M179" i="9"/>
  <c r="M181" i="9"/>
  <c r="M180" i="9"/>
  <c r="M178" i="9"/>
  <c r="M14" i="9"/>
  <c r="M12" i="9"/>
  <c r="M8" i="9"/>
  <c r="M16" i="9"/>
  <c r="M11" i="9"/>
  <c r="M10" i="9"/>
  <c r="M9" i="9"/>
  <c r="M57" i="9"/>
  <c r="M59" i="9"/>
  <c r="M53" i="9"/>
  <c r="M51" i="9"/>
  <c r="M54" i="9"/>
  <c r="M55" i="9"/>
  <c r="M52" i="9"/>
  <c r="O57" i="9"/>
  <c r="O55" i="9"/>
  <c r="O51" i="9"/>
  <c r="O59" i="9"/>
  <c r="O52" i="9"/>
  <c r="O53" i="9"/>
  <c r="O54" i="9"/>
  <c r="D138" i="9"/>
  <c r="F177" i="9"/>
  <c r="D180" i="9"/>
  <c r="D159" i="9"/>
  <c r="D117" i="9"/>
  <c r="F93" i="9"/>
  <c r="F74" i="9"/>
  <c r="F72" i="9"/>
  <c r="N26" i="8"/>
  <c r="N11" i="8"/>
  <c r="N7" i="8"/>
  <c r="N8" i="8" s="1"/>
  <c r="N9" i="8" s="1"/>
  <c r="G8" i="8"/>
  <c r="Q42" i="9"/>
  <c r="L148" i="9"/>
  <c r="Q148" i="9" s="1"/>
  <c r="P21" i="9"/>
  <c r="Q57" i="9"/>
  <c r="P57" i="9"/>
  <c r="Q64" i="9"/>
  <c r="P64" i="9"/>
  <c r="Q127" i="9"/>
  <c r="P127" i="9"/>
  <c r="Q169" i="9"/>
  <c r="P169" i="9"/>
  <c r="P203" i="9"/>
  <c r="Q203" i="9"/>
  <c r="L186" i="9"/>
  <c r="P106" i="9"/>
  <c r="Q106" i="9"/>
  <c r="Q196" i="9"/>
  <c r="P196" i="9"/>
  <c r="Q22" i="9"/>
  <c r="P22" i="9"/>
  <c r="P85" i="9"/>
  <c r="Q85" i="9"/>
  <c r="Q11" i="9"/>
  <c r="Q53" i="9"/>
  <c r="Q139" i="9"/>
  <c r="Q180" i="9"/>
  <c r="L195" i="9"/>
  <c r="P10" i="9"/>
  <c r="N14" i="9"/>
  <c r="Q32" i="9"/>
  <c r="P52" i="9"/>
  <c r="Q73" i="9"/>
  <c r="Q80" i="9"/>
  <c r="P93" i="9"/>
  <c r="P97" i="9"/>
  <c r="Q114" i="9"/>
  <c r="Q118" i="9"/>
  <c r="L141" i="9"/>
  <c r="P179" i="9"/>
  <c r="N183" i="9"/>
  <c r="P183" i="9" s="1"/>
  <c r="P185" i="9"/>
  <c r="N36" i="9"/>
  <c r="Q94" i="9"/>
  <c r="Q101" i="9"/>
  <c r="Q135" i="9"/>
  <c r="L162" i="9"/>
  <c r="L199" i="9"/>
  <c r="Q10" i="9"/>
  <c r="Q52" i="9"/>
  <c r="P72" i="9"/>
  <c r="Q93" i="9"/>
  <c r="L120" i="9"/>
  <c r="N162" i="9"/>
  <c r="N195" i="9"/>
  <c r="L198" i="9"/>
  <c r="N199" i="9"/>
  <c r="P164" i="9"/>
  <c r="Q178" i="9"/>
  <c r="L197" i="9"/>
  <c r="N198" i="9"/>
  <c r="N141" i="9"/>
  <c r="L78" i="9"/>
  <c r="P84" i="9"/>
  <c r="P116" i="9"/>
  <c r="N120" i="9"/>
  <c r="P8" i="9"/>
  <c r="P12" i="9"/>
  <c r="Q30" i="9"/>
  <c r="Q34" i="9"/>
  <c r="P54" i="9"/>
  <c r="P63" i="9"/>
  <c r="Q75" i="9"/>
  <c r="Q84" i="9"/>
  <c r="P95" i="9"/>
  <c r="L99" i="9"/>
  <c r="Q8" i="9"/>
  <c r="P33" i="9"/>
  <c r="L36" i="9"/>
  <c r="P42" i="9"/>
  <c r="Q63" i="9"/>
  <c r="P122" i="9"/>
  <c r="P156" i="9"/>
  <c r="F114" i="9"/>
  <c r="F138" i="9"/>
  <c r="F141" i="9"/>
  <c r="F30" i="9"/>
  <c r="F80" i="9"/>
  <c r="D95" i="9"/>
  <c r="H99" i="9"/>
  <c r="D96" i="9"/>
  <c r="G99" i="9"/>
  <c r="D99" i="9"/>
  <c r="F139" i="9"/>
  <c r="D179" i="9"/>
  <c r="H183" i="9"/>
  <c r="G183" i="9"/>
  <c r="D183" i="9"/>
  <c r="F117" i="9"/>
  <c r="F120" i="9"/>
  <c r="H196" i="9"/>
  <c r="G196" i="9"/>
  <c r="F36" i="9"/>
  <c r="F31" i="9"/>
  <c r="F38" i="9"/>
  <c r="F34" i="9"/>
  <c r="F118" i="9"/>
  <c r="F143" i="9"/>
  <c r="D158" i="9"/>
  <c r="D162" i="9"/>
  <c r="H64" i="9"/>
  <c r="G64" i="9"/>
  <c r="F96" i="9"/>
  <c r="F97" i="9"/>
  <c r="F99" i="9"/>
  <c r="H148" i="9"/>
  <c r="G148" i="9"/>
  <c r="F181" i="9"/>
  <c r="F32" i="9"/>
  <c r="H85" i="9"/>
  <c r="F122" i="9"/>
  <c r="D137" i="9"/>
  <c r="H141" i="9"/>
  <c r="G141" i="9"/>
  <c r="D141" i="9"/>
  <c r="H169" i="9"/>
  <c r="C186" i="9"/>
  <c r="F116" i="9"/>
  <c r="F180" i="9"/>
  <c r="F183" i="9"/>
  <c r="F95" i="9"/>
  <c r="H127" i="9"/>
  <c r="G127" i="9"/>
  <c r="F135" i="9"/>
  <c r="F179" i="9"/>
  <c r="E186" i="9"/>
  <c r="F75" i="9"/>
  <c r="F78" i="9"/>
  <c r="F33" i="9"/>
  <c r="F76" i="9"/>
  <c r="F101" i="9"/>
  <c r="D116" i="9"/>
  <c r="H120" i="9"/>
  <c r="G120" i="9"/>
  <c r="D120" i="9"/>
  <c r="C57" i="9"/>
  <c r="D55" i="9" s="1"/>
  <c r="C78" i="9"/>
  <c r="G10" i="9"/>
  <c r="E14" i="9"/>
  <c r="G32" i="9"/>
  <c r="H42" i="9"/>
  <c r="H63" i="9"/>
  <c r="H84" i="9"/>
  <c r="D94" i="9"/>
  <c r="D101" i="9"/>
  <c r="D115" i="9"/>
  <c r="D122" i="9"/>
  <c r="D136" i="9"/>
  <c r="D143" i="9"/>
  <c r="D157" i="9"/>
  <c r="D164" i="9"/>
  <c r="D178" i="9"/>
  <c r="C195" i="9"/>
  <c r="C199" i="9"/>
  <c r="H32" i="9"/>
  <c r="E57" i="9"/>
  <c r="E162" i="9"/>
  <c r="G9" i="9"/>
  <c r="G16" i="9"/>
  <c r="G31" i="9"/>
  <c r="G38" i="9"/>
  <c r="F73" i="9"/>
  <c r="D93" i="9"/>
  <c r="F94" i="9"/>
  <c r="D97" i="9"/>
  <c r="D114" i="9"/>
  <c r="F115" i="9"/>
  <c r="D118" i="9"/>
  <c r="D135" i="9"/>
  <c r="F136" i="9"/>
  <c r="D139" i="9"/>
  <c r="D156" i="9"/>
  <c r="D160" i="9"/>
  <c r="D177" i="9"/>
  <c r="F178" i="9"/>
  <c r="D181" i="9"/>
  <c r="H185" i="9"/>
  <c r="E195" i="9"/>
  <c r="C198" i="9"/>
  <c r="E199" i="9"/>
  <c r="C14" i="9"/>
  <c r="H9" i="9"/>
  <c r="H16" i="9"/>
  <c r="H31" i="9"/>
  <c r="G52" i="9"/>
  <c r="G59" i="9"/>
  <c r="G73" i="9"/>
  <c r="G80" i="9"/>
  <c r="G85" i="9"/>
  <c r="G94" i="9"/>
  <c r="G101" i="9"/>
  <c r="G106" i="9"/>
  <c r="G115" i="9"/>
  <c r="G122" i="9"/>
  <c r="G136" i="9"/>
  <c r="G143" i="9"/>
  <c r="G157" i="9"/>
  <c r="G164" i="9"/>
  <c r="G169" i="9"/>
  <c r="G178" i="9"/>
  <c r="H10" i="9"/>
  <c r="G12" i="9"/>
  <c r="G30" i="9"/>
  <c r="G34" i="9"/>
  <c r="C197" i="9"/>
  <c r="E198" i="9"/>
  <c r="G8" i="9"/>
  <c r="G51" i="9"/>
  <c r="G55" i="9"/>
  <c r="G72" i="9"/>
  <c r="G76" i="9"/>
  <c r="G93" i="9"/>
  <c r="G97" i="9"/>
  <c r="G114" i="9"/>
  <c r="G118" i="9"/>
  <c r="G135" i="9"/>
  <c r="G139" i="9"/>
  <c r="G156" i="9"/>
  <c r="G160" i="9"/>
  <c r="G177" i="9"/>
  <c r="G181" i="9"/>
  <c r="C36" i="9"/>
  <c r="H93" i="9"/>
  <c r="H114" i="9"/>
  <c r="H135" i="9"/>
  <c r="H156" i="9"/>
  <c r="H177" i="9"/>
  <c r="E197" i="9"/>
  <c r="C203" i="9"/>
  <c r="H43" i="9" l="1"/>
  <c r="G22" i="9"/>
  <c r="P43" i="9"/>
  <c r="Q43" i="9"/>
  <c r="G43" i="9"/>
  <c r="P148" i="9"/>
  <c r="G15" i="8"/>
  <c r="G9" i="8"/>
  <c r="N33" i="8"/>
  <c r="N27" i="8"/>
  <c r="M36" i="9"/>
  <c r="M38" i="9"/>
  <c r="M31" i="9"/>
  <c r="M32" i="9"/>
  <c r="M34" i="9"/>
  <c r="M30" i="9"/>
  <c r="M33" i="9"/>
  <c r="M78" i="9"/>
  <c r="M74" i="9"/>
  <c r="M80" i="9"/>
  <c r="M73" i="9"/>
  <c r="M76" i="9"/>
  <c r="M72" i="9"/>
  <c r="M75" i="9"/>
  <c r="O141" i="9"/>
  <c r="O139" i="9"/>
  <c r="O143" i="9"/>
  <c r="O135" i="9"/>
  <c r="O136" i="9"/>
  <c r="O137" i="9"/>
  <c r="O138" i="9"/>
  <c r="O162" i="9"/>
  <c r="O158" i="9"/>
  <c r="O156" i="9"/>
  <c r="O159" i="9"/>
  <c r="O157" i="9"/>
  <c r="O164" i="9"/>
  <c r="O160" i="9"/>
  <c r="M162" i="9"/>
  <c r="M159" i="9"/>
  <c r="M156" i="9"/>
  <c r="M158" i="9"/>
  <c r="M164" i="9"/>
  <c r="M157" i="9"/>
  <c r="M160" i="9"/>
  <c r="M120" i="9"/>
  <c r="M122" i="9"/>
  <c r="M114" i="9"/>
  <c r="M116" i="9"/>
  <c r="M117" i="9"/>
  <c r="M115" i="9"/>
  <c r="M118" i="9"/>
  <c r="M141" i="9"/>
  <c r="M136" i="9"/>
  <c r="M143" i="9"/>
  <c r="M137" i="9"/>
  <c r="M138" i="9"/>
  <c r="M135" i="9"/>
  <c r="M139" i="9"/>
  <c r="O14" i="9"/>
  <c r="O12" i="9"/>
  <c r="O8" i="9"/>
  <c r="O16" i="9"/>
  <c r="O11" i="9"/>
  <c r="O10" i="9"/>
  <c r="O9" i="9"/>
  <c r="N186" i="9"/>
  <c r="O183" i="9"/>
  <c r="O178" i="9"/>
  <c r="O179" i="9"/>
  <c r="O177" i="9"/>
  <c r="O181" i="9"/>
  <c r="O180" i="9"/>
  <c r="O120" i="9"/>
  <c r="O114" i="9"/>
  <c r="O115" i="9"/>
  <c r="O117" i="9"/>
  <c r="O116" i="9"/>
  <c r="O118" i="9"/>
  <c r="O122" i="9"/>
  <c r="O36" i="9"/>
  <c r="O30" i="9"/>
  <c r="O31" i="9"/>
  <c r="O38" i="9"/>
  <c r="O33" i="9"/>
  <c r="O34" i="9"/>
  <c r="O32" i="9"/>
  <c r="M99" i="9"/>
  <c r="M94" i="9"/>
  <c r="M97" i="9"/>
  <c r="M101" i="9"/>
  <c r="M96" i="9"/>
  <c r="M93" i="9"/>
  <c r="M95" i="9"/>
  <c r="D51" i="9"/>
  <c r="G162" i="9"/>
  <c r="D80" i="9"/>
  <c r="F156" i="9"/>
  <c r="H162" i="9"/>
  <c r="F164" i="9"/>
  <c r="F158" i="9"/>
  <c r="F160" i="9"/>
  <c r="F157" i="9"/>
  <c r="D73" i="9"/>
  <c r="F53" i="9"/>
  <c r="D31" i="9"/>
  <c r="D9" i="9"/>
  <c r="D10" i="9"/>
  <c r="N15" i="8"/>
  <c r="Q141" i="9"/>
  <c r="P141" i="9"/>
  <c r="Q78" i="9"/>
  <c r="P78" i="9"/>
  <c r="P99" i="9"/>
  <c r="Q99" i="9"/>
  <c r="Q198" i="9"/>
  <c r="P198" i="9"/>
  <c r="Q120" i="9"/>
  <c r="P120" i="9"/>
  <c r="L201" i="9"/>
  <c r="M195" i="9" s="1"/>
  <c r="Q195" i="9"/>
  <c r="P195" i="9"/>
  <c r="Q197" i="9"/>
  <c r="P197" i="9"/>
  <c r="N201" i="9"/>
  <c r="O198" i="9" s="1"/>
  <c r="Q199" i="9"/>
  <c r="P199" i="9"/>
  <c r="Q183" i="9"/>
  <c r="Q36" i="9"/>
  <c r="P36" i="9"/>
  <c r="Q162" i="9"/>
  <c r="P162" i="9"/>
  <c r="Q14" i="9"/>
  <c r="P14" i="9"/>
  <c r="H199" i="9"/>
  <c r="G199" i="9"/>
  <c r="D32" i="9"/>
  <c r="F55" i="9"/>
  <c r="H198" i="9"/>
  <c r="G198" i="9"/>
  <c r="D53" i="9"/>
  <c r="H57" i="9"/>
  <c r="D54" i="9"/>
  <c r="G57" i="9"/>
  <c r="D57" i="9"/>
  <c r="F54" i="9"/>
  <c r="F57" i="9"/>
  <c r="H203" i="9"/>
  <c r="G203" i="9"/>
  <c r="F16" i="9"/>
  <c r="F14" i="9"/>
  <c r="F9" i="9"/>
  <c r="D74" i="9"/>
  <c r="H78" i="9"/>
  <c r="G78" i="9"/>
  <c r="D78" i="9"/>
  <c r="E201" i="9"/>
  <c r="F197" i="9" s="1"/>
  <c r="D76" i="9"/>
  <c r="D59" i="9"/>
  <c r="D38" i="9"/>
  <c r="F10" i="9"/>
  <c r="D75" i="9"/>
  <c r="H197" i="9"/>
  <c r="G197" i="9"/>
  <c r="C201" i="9"/>
  <c r="H195" i="9"/>
  <c r="G195" i="9"/>
  <c r="D52" i="9"/>
  <c r="F51" i="9"/>
  <c r="D36" i="9"/>
  <c r="D34" i="9"/>
  <c r="D30" i="9"/>
  <c r="H36" i="9"/>
  <c r="G36" i="9"/>
  <c r="F52" i="9"/>
  <c r="F11" i="9"/>
  <c r="D14" i="9"/>
  <c r="D12" i="9"/>
  <c r="H14" i="9"/>
  <c r="D8" i="9"/>
  <c r="G14" i="9"/>
  <c r="F12" i="9"/>
  <c r="D72" i="9"/>
  <c r="F159" i="9"/>
  <c r="F162" i="9"/>
  <c r="D11" i="9"/>
  <c r="D33" i="9"/>
  <c r="D16" i="9"/>
  <c r="F8" i="9"/>
  <c r="F59" i="9"/>
  <c r="O195" i="9" l="1"/>
  <c r="M199" i="9"/>
  <c r="M197" i="9"/>
  <c r="M198" i="9"/>
  <c r="M201" i="9"/>
  <c r="M196" i="9"/>
  <c r="O201" i="9"/>
  <c r="O197" i="9"/>
  <c r="O196" i="9"/>
  <c r="O199" i="9"/>
  <c r="F199" i="9"/>
  <c r="F195" i="9"/>
  <c r="F198" i="9"/>
  <c r="D195" i="9"/>
  <c r="D197" i="9"/>
  <c r="Q201" i="9"/>
  <c r="P201" i="9"/>
  <c r="D201" i="9"/>
  <c r="H201" i="9"/>
  <c r="G201" i="9"/>
  <c r="D196" i="9"/>
  <c r="D199" i="9"/>
  <c r="F201" i="9"/>
  <c r="F196" i="9"/>
  <c r="D198" i="9"/>
  <c r="E72" i="7" l="1"/>
  <c r="D72" i="7"/>
  <c r="D10" i="7" l="1"/>
  <c r="E10" i="7"/>
  <c r="D60" i="7" l="1"/>
  <c r="D49" i="7"/>
  <c r="D38" i="7"/>
  <c r="D25" i="7"/>
  <c r="D12" i="7"/>
  <c r="D70" i="7"/>
  <c r="D58" i="7"/>
  <c r="D47" i="7"/>
  <c r="D36" i="7"/>
  <c r="D23" i="7"/>
  <c r="K12" i="14" l="1"/>
  <c r="L12" i="14" s="1"/>
  <c r="K14" i="14"/>
  <c r="I14" i="14"/>
  <c r="J14" i="14" s="1"/>
  <c r="I12" i="14"/>
  <c r="J12" i="14" s="1"/>
  <c r="K11" i="14"/>
  <c r="L11" i="14" s="1"/>
  <c r="I11" i="14"/>
  <c r="J11" i="14" s="1"/>
  <c r="L14" i="14" l="1"/>
  <c r="E60" i="7" l="1"/>
  <c r="E49" i="7"/>
  <c r="E38" i="7"/>
  <c r="E25" i="7"/>
  <c r="E12" i="7"/>
  <c r="E70" i="7"/>
  <c r="E58" i="7"/>
  <c r="E47" i="7"/>
  <c r="E36" i="7"/>
  <c r="E23" i="7"/>
  <c r="E67" i="7"/>
  <c r="E73" i="7" s="1"/>
  <c r="E55" i="7"/>
  <c r="E44" i="7"/>
  <c r="E33" i="7"/>
  <c r="E20" i="7"/>
  <c r="E7" i="7"/>
  <c r="E11" i="7" s="1"/>
  <c r="E71" i="7" l="1"/>
  <c r="E61" i="7"/>
  <c r="E59" i="7"/>
  <c r="E39" i="7"/>
  <c r="E50" i="7"/>
  <c r="E48" i="7"/>
  <c r="E37" i="7"/>
  <c r="E26" i="7"/>
  <c r="E24" i="7"/>
  <c r="E13" i="7"/>
  <c r="I8" i="15"/>
  <c r="J8" i="15" s="1"/>
  <c r="K8" i="15"/>
  <c r="L8" i="15" s="1"/>
  <c r="K11" i="15"/>
  <c r="L11" i="15" s="1"/>
  <c r="I11" i="15"/>
  <c r="J11" i="15" s="1"/>
  <c r="K7" i="15"/>
  <c r="I7" i="15"/>
  <c r="J7" i="15" s="1"/>
  <c r="K12" i="15"/>
  <c r="L12" i="15" s="1"/>
  <c r="I12" i="15"/>
  <c r="J12" i="15" s="1"/>
  <c r="F15" i="15"/>
  <c r="E15" i="15"/>
  <c r="D15" i="15"/>
  <c r="C15" i="15"/>
  <c r="E13" i="15"/>
  <c r="H13" i="15"/>
  <c r="F13" i="15"/>
  <c r="C13" i="15"/>
  <c r="E9" i="15"/>
  <c r="G9" i="15"/>
  <c r="F9" i="15"/>
  <c r="D13" i="15"/>
  <c r="D67" i="7"/>
  <c r="D55" i="7"/>
  <c r="D20" i="7"/>
  <c r="D7" i="7"/>
  <c r="D73" i="7" l="1"/>
  <c r="D71" i="7"/>
  <c r="D26" i="7"/>
  <c r="D24" i="7"/>
  <c r="D11" i="7"/>
  <c r="D13" i="7"/>
  <c r="D59" i="7"/>
  <c r="D61" i="7"/>
  <c r="F9" i="14"/>
  <c r="D44" i="7"/>
  <c r="F15" i="14"/>
  <c r="F13" i="14"/>
  <c r="E9" i="14"/>
  <c r="D33" i="7"/>
  <c r="E15" i="14"/>
  <c r="E13" i="14"/>
  <c r="F10" i="15"/>
  <c r="E45" i="7"/>
  <c r="E10" i="15"/>
  <c r="E34" i="7"/>
  <c r="G10" i="15"/>
  <c r="E56" i="7"/>
  <c r="E57" i="7" s="1"/>
  <c r="L7" i="15"/>
  <c r="K9" i="15"/>
  <c r="K14" i="15"/>
  <c r="L14" i="15" s="1"/>
  <c r="I14" i="15"/>
  <c r="J14" i="15" s="1"/>
  <c r="H15" i="15"/>
  <c r="D9" i="14"/>
  <c r="D13" i="14"/>
  <c r="D15" i="14"/>
  <c r="G9" i="14"/>
  <c r="G13" i="14"/>
  <c r="G15" i="14"/>
  <c r="H15" i="14"/>
  <c r="H13" i="14"/>
  <c r="C9" i="14"/>
  <c r="C13" i="14"/>
  <c r="C15" i="14"/>
  <c r="H9" i="14"/>
  <c r="G13" i="15"/>
  <c r="C9" i="15"/>
  <c r="G15" i="15"/>
  <c r="D9" i="15"/>
  <c r="H9" i="15"/>
  <c r="E68" i="7" s="1"/>
  <c r="E69" i="7" s="1"/>
  <c r="I8" i="14"/>
  <c r="J8" i="14" s="1"/>
  <c r="G20" i="13"/>
  <c r="G25" i="13" s="1"/>
  <c r="G19" i="13"/>
  <c r="G24" i="13" s="1"/>
  <c r="L25" i="6"/>
  <c r="N25" i="6"/>
  <c r="M25" i="6"/>
  <c r="J25" i="6"/>
  <c r="F24" i="13"/>
  <c r="E24" i="13"/>
  <c r="D24" i="13"/>
  <c r="C24" i="13"/>
  <c r="F25" i="13"/>
  <c r="E25" i="13"/>
  <c r="D25" i="13"/>
  <c r="C25" i="13"/>
  <c r="D10" i="14" l="1"/>
  <c r="D21" i="7"/>
  <c r="D22" i="7" s="1"/>
  <c r="H10" i="14"/>
  <c r="D68" i="7"/>
  <c r="D69" i="7" s="1"/>
  <c r="G10" i="14"/>
  <c r="D56" i="7"/>
  <c r="D57" i="7" s="1"/>
  <c r="E46" i="7"/>
  <c r="C10" i="14"/>
  <c r="D8" i="7"/>
  <c r="D9" i="7" s="1"/>
  <c r="E35" i="7"/>
  <c r="D48" i="7"/>
  <c r="D50" i="7"/>
  <c r="F10" i="14"/>
  <c r="D45" i="7"/>
  <c r="D46" i="7" s="1"/>
  <c r="D10" i="15"/>
  <c r="E21" i="7"/>
  <c r="L9" i="15"/>
  <c r="C10" i="15"/>
  <c r="E8" i="7"/>
  <c r="D37" i="7"/>
  <c r="D39" i="7"/>
  <c r="E10" i="14"/>
  <c r="D34" i="7"/>
  <c r="D35" i="7" s="1"/>
  <c r="H10" i="15"/>
  <c r="I9" i="15"/>
  <c r="J9" i="15" s="1"/>
  <c r="K8" i="14"/>
  <c r="L8" i="14" s="1"/>
  <c r="I7" i="14"/>
  <c r="K7" i="14"/>
  <c r="G21" i="13"/>
  <c r="K9" i="14" l="1"/>
  <c r="L9" i="14" s="1"/>
  <c r="E9" i="7"/>
  <c r="E22" i="7"/>
  <c r="J7" i="14"/>
  <c r="I9" i="14"/>
  <c r="J9" i="14" s="1"/>
  <c r="L7" i="14"/>
  <c r="E21" i="13"/>
  <c r="D21" i="13"/>
  <c r="F21" i="13" l="1"/>
  <c r="C21" i="13"/>
  <c r="C26" i="13" s="1"/>
  <c r="K25" i="6" l="1"/>
  <c r="H25" i="13"/>
  <c r="H24" i="13"/>
  <c r="H21" i="13"/>
  <c r="E72" i="12" l="1"/>
  <c r="F72" i="12"/>
  <c r="F61" i="12" l="1"/>
  <c r="F50" i="12"/>
  <c r="F5" i="12"/>
  <c r="F21" i="12" s="1"/>
  <c r="F30" i="12" s="1"/>
  <c r="F34" i="12" s="1"/>
  <c r="E61" i="12"/>
  <c r="E50" i="12"/>
  <c r="E5" i="12"/>
  <c r="E21" i="12" l="1"/>
  <c r="E30" i="12" s="1"/>
  <c r="E34" i="12" s="1"/>
  <c r="E63" i="12" s="1"/>
  <c r="E67" i="12" s="1"/>
  <c r="F63" i="12"/>
  <c r="F67" i="12" s="1"/>
  <c r="D72" i="12" l="1"/>
  <c r="H72" i="12"/>
  <c r="G72" i="12"/>
  <c r="C5" i="12"/>
  <c r="C21" i="12" s="1"/>
  <c r="C30" i="12" s="1"/>
  <c r="C34" i="12" s="1"/>
  <c r="D5" i="12"/>
  <c r="D21" i="12" s="1"/>
  <c r="D30" i="12" s="1"/>
  <c r="D34" i="12" s="1"/>
  <c r="G5" i="12"/>
  <c r="G21" i="12" s="1"/>
  <c r="G30" i="12" s="1"/>
  <c r="G34" i="12" s="1"/>
  <c r="H50" i="12"/>
  <c r="G50" i="12"/>
  <c r="H61" i="12"/>
  <c r="G61" i="12"/>
  <c r="C50" i="12"/>
  <c r="D50" i="12"/>
  <c r="D61" i="12"/>
  <c r="C61" i="12"/>
  <c r="H5" i="12"/>
  <c r="H21" i="12" s="1"/>
  <c r="H30" i="12" s="1"/>
  <c r="H34" i="12" s="1"/>
  <c r="H63" i="12" l="1"/>
  <c r="H67" i="12" s="1"/>
  <c r="G63" i="12"/>
  <c r="G67" i="12" s="1"/>
  <c r="D63" i="12"/>
  <c r="D67" i="12" s="1"/>
  <c r="C63" i="12"/>
  <c r="C67" i="12" s="1"/>
  <c r="C52" i="10"/>
  <c r="D52" i="10"/>
  <c r="E52" i="10"/>
  <c r="C44" i="10"/>
  <c r="D44" i="10"/>
  <c r="E44" i="10"/>
  <c r="C35" i="10"/>
  <c r="D35" i="10"/>
  <c r="E35" i="10"/>
  <c r="C21" i="10"/>
  <c r="D21" i="10"/>
  <c r="E21" i="10"/>
  <c r="C15" i="10"/>
  <c r="D15" i="10"/>
  <c r="E15" i="10"/>
  <c r="G38" i="11"/>
  <c r="G42" i="11"/>
  <c r="G34" i="11"/>
  <c r="E41" i="11"/>
  <c r="E42" i="11"/>
  <c r="E38" i="11"/>
  <c r="E34" i="11"/>
  <c r="E10" i="11" l="1"/>
  <c r="E16" i="11" s="1"/>
  <c r="E73" i="12"/>
  <c r="H44" i="10"/>
  <c r="H52" i="10"/>
  <c r="H35" i="10"/>
  <c r="F44" i="10"/>
  <c r="H21" i="10"/>
  <c r="F52" i="10"/>
  <c r="F15" i="10"/>
  <c r="F35" i="10"/>
  <c r="F21" i="10"/>
  <c r="H15" i="10"/>
  <c r="E54" i="10"/>
  <c r="E55" i="10" s="1"/>
  <c r="E23" i="10"/>
  <c r="D54" i="10"/>
  <c r="D55" i="10" s="1"/>
  <c r="D23" i="10"/>
  <c r="C54" i="10"/>
  <c r="C55" i="10" s="1"/>
  <c r="C23" i="10"/>
  <c r="G15" i="10"/>
  <c r="G21" i="10"/>
  <c r="G35" i="10"/>
  <c r="G44" i="10"/>
  <c r="G52" i="10"/>
  <c r="G41" i="11"/>
  <c r="G10" i="11"/>
  <c r="G16" i="11" s="1"/>
  <c r="F12" i="11"/>
  <c r="F54" i="10" l="1"/>
  <c r="F23" i="10"/>
  <c r="G23" i="10"/>
  <c r="H54" i="10"/>
  <c r="H55" i="10" s="1"/>
  <c r="H23" i="10"/>
  <c r="F55" i="10"/>
  <c r="G54" i="10"/>
  <c r="G55" i="10" s="1"/>
  <c r="E56" i="10"/>
  <c r="D56" i="10"/>
  <c r="C56" i="10"/>
  <c r="E21" i="11"/>
  <c r="E23" i="11" s="1"/>
  <c r="E28" i="11" s="1"/>
  <c r="G21" i="11"/>
  <c r="G23" i="11" s="1"/>
  <c r="G28" i="11" s="1"/>
  <c r="H42" i="11"/>
  <c r="H41" i="11"/>
  <c r="G71" i="12"/>
  <c r="G73" i="12" s="1"/>
  <c r="C42" i="11"/>
  <c r="F27" i="11"/>
  <c r="C71" i="12"/>
  <c r="C73" i="12" s="1"/>
  <c r="D73" i="12"/>
  <c r="F22" i="11"/>
  <c r="G56" i="10" l="1"/>
  <c r="F56" i="10"/>
  <c r="F9" i="11"/>
  <c r="H56" i="10"/>
  <c r="F8" i="11"/>
  <c r="F73" i="12" s="1"/>
  <c r="F20" i="11"/>
  <c r="F15" i="11"/>
  <c r="F13" i="11"/>
  <c r="F37" i="11"/>
  <c r="F19" i="11"/>
  <c r="F11" i="11"/>
  <c r="F26" i="11"/>
  <c r="F14" i="11"/>
  <c r="D41" i="11"/>
  <c r="F32" i="11"/>
  <c r="D42" i="11"/>
  <c r="F33" i="11"/>
  <c r="F42" i="11" s="1"/>
  <c r="D38" i="11"/>
  <c r="F36" i="11"/>
  <c r="H10" i="11"/>
  <c r="H16" i="11" s="1"/>
  <c r="H21" i="11" s="1"/>
  <c r="H23" i="11" s="1"/>
  <c r="H38" i="11"/>
  <c r="C34" i="11"/>
  <c r="L27" i="11"/>
  <c r="M27" i="11" s="1"/>
  <c r="H34" i="11"/>
  <c r="D10" i="11"/>
  <c r="D16" i="11" s="1"/>
  <c r="D21" i="11" s="1"/>
  <c r="C10" i="11"/>
  <c r="C16" i="11" s="1"/>
  <c r="C38" i="11"/>
  <c r="D34" i="11"/>
  <c r="C41" i="11"/>
  <c r="F10" i="11" l="1"/>
  <c r="F16" i="11" s="1"/>
  <c r="F21" i="11" s="1"/>
  <c r="F23" i="11" s="1"/>
  <c r="F28" i="11" s="1"/>
  <c r="F38" i="11"/>
  <c r="F34" i="11"/>
  <c r="F41" i="11"/>
  <c r="C21" i="11"/>
  <c r="D23" i="11" l="1"/>
  <c r="C23" i="11"/>
  <c r="H28" i="11" l="1"/>
  <c r="C28" i="11"/>
  <c r="D28" i="11"/>
  <c r="L22" i="11" l="1"/>
  <c r="M22" i="11" s="1"/>
  <c r="L20" i="11"/>
  <c r="M20" i="11" s="1"/>
  <c r="K20" i="11"/>
  <c r="L13" i="11" l="1"/>
  <c r="M13" i="11" s="1"/>
  <c r="I41" i="11"/>
  <c r="J41" i="11" s="1"/>
  <c r="K32" i="11"/>
  <c r="L32" i="11"/>
  <c r="M32" i="11" s="1"/>
  <c r="K37" i="11"/>
  <c r="L37" i="11"/>
  <c r="M37" i="11" s="1"/>
  <c r="L12" i="11"/>
  <c r="M12" i="11" s="1"/>
  <c r="L11" i="11"/>
  <c r="M11" i="11" s="1"/>
  <c r="L19" i="11"/>
  <c r="M19" i="11" s="1"/>
  <c r="L9" i="11"/>
  <c r="M9" i="11" s="1"/>
  <c r="K15" i="11"/>
  <c r="L15" i="11"/>
  <c r="M15" i="11" s="1"/>
  <c r="L33" i="11" l="1"/>
  <c r="M33" i="11" s="1"/>
  <c r="I42" i="11"/>
  <c r="J42" i="11" s="1"/>
  <c r="K33" i="11"/>
  <c r="H73" i="12"/>
  <c r="K18" i="11"/>
  <c r="L18" i="11"/>
  <c r="M18" i="11" s="1"/>
  <c r="K41" i="11"/>
  <c r="L41" i="11"/>
  <c r="M41" i="11" s="1"/>
  <c r="I34" i="11"/>
  <c r="J34" i="11" s="1"/>
  <c r="L34" i="11" l="1"/>
  <c r="M34" i="11" s="1"/>
  <c r="K34" i="11"/>
  <c r="K42" i="11"/>
  <c r="L42" i="11"/>
  <c r="M42" i="11" s="1"/>
  <c r="I10" i="11"/>
  <c r="J10" i="11" s="1"/>
  <c r="L8" i="11"/>
  <c r="M8" i="11" s="1"/>
  <c r="K8" i="11"/>
  <c r="K26" i="11"/>
  <c r="L26" i="11"/>
  <c r="M26" i="11" s="1"/>
  <c r="K36" i="11"/>
  <c r="L36" i="11"/>
  <c r="M36" i="11" s="1"/>
  <c r="I38" i="11"/>
  <c r="J38" i="11" s="1"/>
  <c r="I16" i="11" l="1"/>
  <c r="L10" i="11"/>
  <c r="M10" i="11" s="1"/>
  <c r="K10" i="11"/>
  <c r="K38" i="11"/>
  <c r="L38" i="11"/>
  <c r="M38" i="11" s="1"/>
  <c r="I21" i="11" l="1"/>
  <c r="J21" i="11" s="1"/>
  <c r="J16" i="11"/>
  <c r="K16" i="11" s="1"/>
  <c r="L16" i="11"/>
  <c r="M16" i="11" s="1"/>
  <c r="I23" i="11" l="1"/>
  <c r="J23" i="11" s="1"/>
  <c r="L21" i="11"/>
  <c r="M21" i="11" s="1"/>
  <c r="K21" i="11"/>
  <c r="I28" i="11" l="1"/>
  <c r="J28" i="11" s="1"/>
  <c r="K23" i="11"/>
  <c r="L23" i="11"/>
  <c r="M23" i="11" s="1"/>
  <c r="L28" i="11" l="1"/>
  <c r="M28" i="11" s="1"/>
  <c r="K28" i="11"/>
  <c r="G27" i="6" l="1"/>
  <c r="G26" i="6"/>
  <c r="F25" i="6"/>
  <c r="E25" i="6"/>
  <c r="D25" i="6"/>
  <c r="C25" i="6"/>
  <c r="G22" i="6"/>
  <c r="G21" i="6"/>
  <c r="F20" i="6"/>
  <c r="E20" i="6"/>
  <c r="D20" i="6"/>
  <c r="C20" i="6"/>
  <c r="G17" i="6"/>
  <c r="G16" i="6"/>
  <c r="F15" i="6"/>
  <c r="E15" i="6"/>
  <c r="D15" i="6"/>
  <c r="C15" i="6"/>
  <c r="G12" i="6"/>
  <c r="G11" i="6"/>
  <c r="F10" i="6"/>
  <c r="E10" i="6"/>
  <c r="D10" i="6"/>
  <c r="C10" i="6"/>
  <c r="G7" i="6"/>
  <c r="G6" i="6"/>
  <c r="F5" i="6"/>
  <c r="E5" i="6"/>
  <c r="D5" i="6"/>
  <c r="C5" i="6"/>
  <c r="G20" i="6" l="1"/>
  <c r="G10" i="6"/>
  <c r="G25" i="6"/>
  <c r="G5" i="6"/>
  <c r="G15" i="6"/>
  <c r="F26" i="13" l="1"/>
  <c r="C44" i="7"/>
  <c r="G44" i="7" s="1"/>
  <c r="F27" i="13"/>
  <c r="F10" i="13" l="1"/>
  <c r="F11" i="13" l="1"/>
  <c r="C45" i="7"/>
  <c r="C46" i="7" l="1"/>
  <c r="G45" i="7"/>
  <c r="G46" i="7" s="1"/>
  <c r="F14" i="13"/>
  <c r="C47" i="7"/>
  <c r="C48" i="7" l="1"/>
  <c r="G47" i="7"/>
  <c r="G48" i="7" s="1"/>
  <c r="F16" i="13"/>
  <c r="C49" i="7"/>
  <c r="C50" i="7" l="1"/>
  <c r="G49" i="7"/>
  <c r="G50" i="7" s="1"/>
  <c r="E26" i="13"/>
  <c r="C33" i="7"/>
  <c r="G33" i="7" s="1"/>
  <c r="E27" i="13"/>
  <c r="E10" i="13" l="1"/>
  <c r="E11" i="13" l="1"/>
  <c r="C34" i="7"/>
  <c r="C35" i="7" l="1"/>
  <c r="G34" i="7"/>
  <c r="G35" i="7" s="1"/>
  <c r="E14" i="13" l="1"/>
  <c r="C36" i="7"/>
  <c r="E16" i="13"/>
  <c r="C38" i="7"/>
  <c r="C12" i="7"/>
  <c r="C39" i="7" l="1"/>
  <c r="G38" i="7"/>
  <c r="G39" i="7" s="1"/>
  <c r="C37" i="7"/>
  <c r="G36" i="7"/>
  <c r="G37" i="7" s="1"/>
  <c r="G26" i="13"/>
  <c r="C55" i="7"/>
  <c r="G55" i="7" s="1"/>
  <c r="C7" i="7"/>
  <c r="G7" i="7" s="1"/>
  <c r="G12" i="7"/>
  <c r="C16" i="13"/>
  <c r="G13" i="7" l="1"/>
  <c r="C13" i="7"/>
  <c r="C27" i="13"/>
  <c r="C10" i="13" l="1"/>
  <c r="C11" i="13" l="1"/>
  <c r="C8" i="7"/>
  <c r="C14" i="13"/>
  <c r="C10" i="7"/>
  <c r="C11" i="7" l="1"/>
  <c r="G10" i="7"/>
  <c r="G11" i="7" s="1"/>
  <c r="C9" i="7"/>
  <c r="G8" i="7"/>
  <c r="G9" i="7" s="1"/>
  <c r="G27" i="13"/>
  <c r="G14" i="13" l="1"/>
  <c r="C58" i="7"/>
  <c r="G10" i="13"/>
  <c r="C59" i="7" l="1"/>
  <c r="G58" i="7"/>
  <c r="G59" i="7" s="1"/>
  <c r="G11" i="13"/>
  <c r="C56" i="7"/>
  <c r="G16" i="13"/>
  <c r="C60" i="7"/>
  <c r="D27" i="13"/>
  <c r="C61" i="7" l="1"/>
  <c r="G60" i="7"/>
  <c r="G61" i="7" s="1"/>
  <c r="C57" i="7"/>
  <c r="G56" i="7"/>
  <c r="G57" i="7" s="1"/>
  <c r="D26" i="13"/>
  <c r="C20" i="7"/>
  <c r="G20" i="7" s="1"/>
  <c r="D10" i="13"/>
  <c r="D16" i="13" l="1"/>
  <c r="C25" i="7"/>
  <c r="D11" i="13"/>
  <c r="C21" i="7"/>
  <c r="C22" i="7" l="1"/>
  <c r="G21" i="7"/>
  <c r="G22" i="7" s="1"/>
  <c r="C26" i="7"/>
  <c r="G25" i="7"/>
  <c r="G26" i="7" s="1"/>
  <c r="D14" i="13"/>
  <c r="C23" i="7"/>
  <c r="H26" i="13" l="1"/>
  <c r="C67" i="7"/>
  <c r="G67" i="7" s="1"/>
  <c r="C24" i="7"/>
  <c r="G23" i="7"/>
  <c r="G24" i="7" s="1"/>
  <c r="I7" i="13"/>
  <c r="J7" i="13" s="1"/>
  <c r="K7" i="13"/>
  <c r="L7" i="13" s="1"/>
  <c r="I12" i="13"/>
  <c r="J12" i="13" s="1"/>
  <c r="K12" i="13"/>
  <c r="L12" i="13" s="1"/>
  <c r="H27" i="13"/>
  <c r="I8" i="13" l="1"/>
  <c r="J8" i="13" s="1"/>
  <c r="K8" i="13"/>
  <c r="L8" i="13" s="1"/>
  <c r="H10" i="13"/>
  <c r="C68" i="7" s="1"/>
  <c r="C69" i="7" l="1"/>
  <c r="G68" i="7"/>
  <c r="G69" i="7" s="1"/>
  <c r="H11" i="13"/>
  <c r="K10" i="13"/>
  <c r="L10" i="13" s="1"/>
  <c r="I10" i="13"/>
  <c r="J10" i="13" s="1"/>
  <c r="H14" i="13"/>
  <c r="C72" i="7"/>
  <c r="C73" i="7" l="1"/>
  <c r="G72" i="7"/>
  <c r="G73" i="7" s="1"/>
  <c r="I13" i="13"/>
  <c r="J13" i="13" s="1"/>
  <c r="C70" i="7"/>
  <c r="K13" i="13"/>
  <c r="L13" i="13" s="1"/>
  <c r="H16" i="13"/>
  <c r="K15" i="13"/>
  <c r="L15" i="13" s="1"/>
  <c r="I15" i="13"/>
  <c r="J15" i="13" s="1"/>
  <c r="C71" i="7" l="1"/>
  <c r="G70" i="7"/>
  <c r="G71" i="7" s="1"/>
</calcChain>
</file>

<file path=xl/sharedStrings.xml><?xml version="1.0" encoding="utf-8"?>
<sst xmlns="http://schemas.openxmlformats.org/spreadsheetml/2006/main" count="930" uniqueCount="296">
  <si>
    <t>Total</t>
  </si>
  <si>
    <t>1st Qrt'18</t>
  </si>
  <si>
    <t>2nd Qrt'18</t>
  </si>
  <si>
    <t>3rd Qrt'18</t>
  </si>
  <si>
    <t>4th Qrt'18</t>
  </si>
  <si>
    <t>Full year 2018</t>
  </si>
  <si>
    <t>1st Qrt'19</t>
  </si>
  <si>
    <t>2nd Qrt'19</t>
  </si>
  <si>
    <t>3rd Qrt'19</t>
  </si>
  <si>
    <t>4th Qrt'19</t>
  </si>
  <si>
    <t>Full year 2019</t>
  </si>
  <si>
    <t>1st Qrt'20</t>
  </si>
  <si>
    <t>2nd Qrt'20</t>
  </si>
  <si>
    <t>3rd Qrt'20</t>
  </si>
  <si>
    <t>4th Qrt'20</t>
  </si>
  <si>
    <t>Full year 2020</t>
  </si>
  <si>
    <t>1st Qrt'21</t>
  </si>
  <si>
    <t>2nd Qrt'21</t>
  </si>
  <si>
    <t>3rd Qrt'21</t>
  </si>
  <si>
    <t>4th Qrt'21</t>
  </si>
  <si>
    <t>Full year 2021</t>
  </si>
  <si>
    <t>Investor Relations Contacts</t>
  </si>
  <si>
    <t>InvestorRelations@aramex.com</t>
  </si>
  <si>
    <t>Anca Cighi</t>
  </si>
  <si>
    <t>Investor Relations Officer</t>
  </si>
  <si>
    <t>anca@aramex.com</t>
  </si>
  <si>
    <t>Nicolas Sibuet</t>
  </si>
  <si>
    <t>Chief Financial Officer</t>
  </si>
  <si>
    <t>1st Qrt'22</t>
  </si>
  <si>
    <t>2nd Qrt'22</t>
  </si>
  <si>
    <t>3rd Qrt'22</t>
  </si>
  <si>
    <t>4th Qrt'2</t>
  </si>
  <si>
    <t>Full year 2022</t>
  </si>
  <si>
    <t xml:space="preserve"> IR Data Book 2022</t>
  </si>
  <si>
    <t>International Express+ SnS</t>
  </si>
  <si>
    <t xml:space="preserve">Freight </t>
  </si>
  <si>
    <t>Domestic Revenue</t>
  </si>
  <si>
    <t xml:space="preserve">Courier </t>
  </si>
  <si>
    <t xml:space="preserve">Logistics </t>
  </si>
  <si>
    <t xml:space="preserve">Other Services </t>
  </si>
  <si>
    <t>Revenues</t>
  </si>
  <si>
    <t xml:space="preserve">Gross Profit </t>
  </si>
  <si>
    <t xml:space="preserve">EBIT </t>
  </si>
  <si>
    <t>Q1 2020</t>
  </si>
  <si>
    <t>Q1 2021</t>
  </si>
  <si>
    <t>Q2 2021</t>
  </si>
  <si>
    <t>Q2 2020</t>
  </si>
  <si>
    <t>Q3 2021</t>
  </si>
  <si>
    <t>Q3 2020</t>
  </si>
  <si>
    <t>Q4 2021</t>
  </si>
  <si>
    <t>Q4 2020</t>
  </si>
  <si>
    <t>MENAT</t>
  </si>
  <si>
    <t>All figures are in AED'(000)</t>
  </si>
  <si>
    <t>Actual</t>
  </si>
  <si>
    <t>Q1'22</t>
  </si>
  <si>
    <t>Q1'21</t>
  </si>
  <si>
    <t>VAR</t>
  </si>
  <si>
    <t>%</t>
  </si>
  <si>
    <t>Express + SnS</t>
  </si>
  <si>
    <t>Domestic</t>
  </si>
  <si>
    <t xml:space="preserve">Freight Forwarding  </t>
  </si>
  <si>
    <t>Logistics</t>
  </si>
  <si>
    <t xml:space="preserve">Other </t>
  </si>
  <si>
    <t>Total Revenue</t>
  </si>
  <si>
    <t>Gross Profit</t>
  </si>
  <si>
    <t>GCC</t>
  </si>
  <si>
    <t>Africa (East &amp; South)</t>
  </si>
  <si>
    <t>Europe</t>
  </si>
  <si>
    <t>America</t>
  </si>
  <si>
    <t>North Asia</t>
  </si>
  <si>
    <t>South Asia</t>
  </si>
  <si>
    <t>Oceania</t>
  </si>
  <si>
    <t>Others</t>
  </si>
  <si>
    <t xml:space="preserve">Total  Volumes </t>
  </si>
  <si>
    <t>2022 Vs 2021</t>
  </si>
  <si>
    <t>Growth</t>
  </si>
  <si>
    <t>Revenue</t>
  </si>
  <si>
    <t xml:space="preserve">Total Direct Cost </t>
  </si>
  <si>
    <t>GP%</t>
  </si>
  <si>
    <t>Selling and G&amp;A expenses</t>
  </si>
  <si>
    <t>EBIT</t>
  </si>
  <si>
    <t>EBIT%</t>
  </si>
  <si>
    <t>EBITDA</t>
  </si>
  <si>
    <t>EBITDA%</t>
  </si>
  <si>
    <t>Q1 2022</t>
  </si>
  <si>
    <t>Q2 2022</t>
  </si>
  <si>
    <t>Q2 22 vs Q2 21</t>
  </si>
  <si>
    <t>Volumes</t>
  </si>
  <si>
    <t>Per shipment</t>
  </si>
  <si>
    <t>Domestic Express</t>
  </si>
  <si>
    <t>International Express</t>
  </si>
  <si>
    <t>DOM Express</t>
  </si>
  <si>
    <t>Int'l Express</t>
  </si>
  <si>
    <t>DOM revenue per shipment</t>
  </si>
  <si>
    <t>Int'l revenue per shipment</t>
  </si>
  <si>
    <t>H1 2022 vs H1 2021</t>
  </si>
  <si>
    <t>Capex / Revenue</t>
  </si>
  <si>
    <t>Net Debt / EBITDA</t>
  </si>
  <si>
    <t>Net Debt / EBITDA excl IFRRS 16 ROU</t>
  </si>
  <si>
    <t>Revenue Growth by Region</t>
  </si>
  <si>
    <t>Shipment Volumes (In Millions)</t>
  </si>
  <si>
    <t>Total Revenue International &amp; Domestic Express Revenue</t>
  </si>
  <si>
    <t>Total International &amp; Domestic Express Volume</t>
  </si>
  <si>
    <t>Before GP Reclassification</t>
  </si>
  <si>
    <t>After GP Reclassification</t>
  </si>
  <si>
    <t>Linehaul as a % of total cost</t>
  </si>
  <si>
    <t>Aramex Data Book Contents</t>
  </si>
  <si>
    <t>Q2 2022 and H1 2022</t>
  </si>
  <si>
    <t>Income Statement</t>
  </si>
  <si>
    <t>Balance Sheet</t>
  </si>
  <si>
    <t xml:space="preserve">Cashflow and Capex </t>
  </si>
  <si>
    <t xml:space="preserve">Aramex Courier Product </t>
  </si>
  <si>
    <t>Aramex Freight Product</t>
  </si>
  <si>
    <t>Aramex Logistics Product</t>
  </si>
  <si>
    <t>Regional Breakdown</t>
  </si>
  <si>
    <t>Historic Product Breakdown Key Financials</t>
  </si>
  <si>
    <t xml:space="preserve">GP Reclassification 2020 </t>
  </si>
  <si>
    <t xml:space="preserve">Continuing operations </t>
  </si>
  <si>
    <t xml:space="preserve"> Rendering of services </t>
  </si>
  <si>
    <t xml:space="preserve"> Cost of services </t>
  </si>
  <si>
    <t xml:space="preserve"> Selling and marketing expenses</t>
  </si>
  <si>
    <t xml:space="preserve"> Net impairment loss on accounts receivable </t>
  </si>
  <si>
    <t xml:space="preserve"> Administrative expenses </t>
  </si>
  <si>
    <t xml:space="preserve"> Net Gain/(loss) on property damages and customer goods </t>
  </si>
  <si>
    <t xml:space="preserve"> Other income/-net</t>
  </si>
  <si>
    <t xml:space="preserve">Operating profit </t>
  </si>
  <si>
    <t xml:space="preserve"> Finance income</t>
  </si>
  <si>
    <t xml:space="preserve"> Finance expense</t>
  </si>
  <si>
    <t xml:space="preserve"> Share of results of joint ventures and associates </t>
  </si>
  <si>
    <t>Profit before tax from continuing operations</t>
  </si>
  <si>
    <t xml:space="preserve"> Income Tax</t>
  </si>
  <si>
    <t>Profit for the year from Continuing Operations</t>
  </si>
  <si>
    <t>Discontinued Operations</t>
  </si>
  <si>
    <t xml:space="preserve"> Profit after tax for the year from discontinued operations</t>
  </si>
  <si>
    <t xml:space="preserve"> Gain on sale of subsidiary </t>
  </si>
  <si>
    <t>Profit for the period</t>
  </si>
  <si>
    <t>Attributable to:</t>
  </si>
  <si>
    <t xml:space="preserve"> Equity holders of the parent </t>
  </si>
  <si>
    <t xml:space="preserve"> Profit for the year from continuing operations</t>
  </si>
  <si>
    <t xml:space="preserve"> Profit for the year  from discontinuing operations</t>
  </si>
  <si>
    <t xml:space="preserve">Non -controlling interest </t>
  </si>
  <si>
    <t xml:space="preserve"> Profit of the year from continuing operations</t>
  </si>
  <si>
    <t xml:space="preserve"> Profit of the year from discontinuing operations</t>
  </si>
  <si>
    <t>Earnings per share attributable to the equity holders of the parent:</t>
  </si>
  <si>
    <t>2021</t>
  </si>
  <si>
    <t>Assets</t>
  </si>
  <si>
    <t xml:space="preserve"> Non-current assets </t>
  </si>
  <si>
    <t xml:space="preserve">  Property and equipment </t>
  </si>
  <si>
    <t xml:space="preserve">  Right of use assets </t>
  </si>
  <si>
    <t xml:space="preserve">  Goodwill </t>
  </si>
  <si>
    <t xml:space="preserve">  Other intangible assets </t>
  </si>
  <si>
    <t xml:space="preserve">  Investment in joint ventures and associates </t>
  </si>
  <si>
    <t xml:space="preserve">  Financial assets at fair value through  other comprehensive income </t>
  </si>
  <si>
    <t xml:space="preserve">  Deferred tax assets </t>
  </si>
  <si>
    <t xml:space="preserve">  Other non- current assets </t>
  </si>
  <si>
    <t xml:space="preserve"> Current assets </t>
  </si>
  <si>
    <t xml:space="preserve">  Account receivable , net </t>
  </si>
  <si>
    <t xml:space="preserve">  Other current assets </t>
  </si>
  <si>
    <t xml:space="preserve">  Restricted cash , margins and fixed deposits </t>
  </si>
  <si>
    <t xml:space="preserve">  Cash and cash equivalents </t>
  </si>
  <si>
    <t xml:space="preserve">Asset held for sale </t>
  </si>
  <si>
    <t xml:space="preserve">Total Assets </t>
  </si>
  <si>
    <t xml:space="preserve">Equity and liabilities </t>
  </si>
  <si>
    <t xml:space="preserve"> Share capital </t>
  </si>
  <si>
    <t xml:space="preserve"> Statutory reserve </t>
  </si>
  <si>
    <t xml:space="preserve"> Foreign currency translation reserve </t>
  </si>
  <si>
    <t xml:space="preserve"> Reserve arising from acquisition of non -controlling interest </t>
  </si>
  <si>
    <t xml:space="preserve"> Reserve arising from other comprehensive income items </t>
  </si>
  <si>
    <t xml:space="preserve"> Retained earnings </t>
  </si>
  <si>
    <t xml:space="preserve">Equity attributable to equity holders of the parent </t>
  </si>
  <si>
    <t xml:space="preserve"> Non-controlling interests </t>
  </si>
  <si>
    <t xml:space="preserve">Total Equity </t>
  </si>
  <si>
    <t xml:space="preserve">Liabilities </t>
  </si>
  <si>
    <t xml:space="preserve"> Non- current liabilities </t>
  </si>
  <si>
    <t xml:space="preserve">  Interset - bearing loans and borrowings </t>
  </si>
  <si>
    <t xml:space="preserve">  Lease liabilities </t>
  </si>
  <si>
    <t xml:space="preserve">  Employee's end of service benefits </t>
  </si>
  <si>
    <t xml:space="preserve">  Deferred tax liabitlities </t>
  </si>
  <si>
    <t xml:space="preserve">  Deferred income </t>
  </si>
  <si>
    <t xml:space="preserve">Current liabilities </t>
  </si>
  <si>
    <t xml:space="preserve">  Account payable </t>
  </si>
  <si>
    <t xml:space="preserve">  Bank overdrafts </t>
  </si>
  <si>
    <t xml:space="preserve">  Income Tax provsion </t>
  </si>
  <si>
    <t xml:space="preserve">  Other current liabilities </t>
  </si>
  <si>
    <t xml:space="preserve">Laibilities for sale </t>
  </si>
  <si>
    <t xml:space="preserve">Total liabilities </t>
  </si>
  <si>
    <t xml:space="preserve">Total Equity and liabilities </t>
  </si>
  <si>
    <t>Q2'21</t>
  </si>
  <si>
    <t>Q3'21</t>
  </si>
  <si>
    <t>Q4'21</t>
  </si>
  <si>
    <t>Q2'22</t>
  </si>
  <si>
    <t>OPERATING ACTIVITIES</t>
  </si>
  <si>
    <t>Adjustment for:</t>
  </si>
  <si>
    <t>Depreciation of property and equipment</t>
  </si>
  <si>
    <t>Depreciation of right of use assets</t>
  </si>
  <si>
    <t xml:space="preserve"> Provision for employees’ end of service benefits</t>
  </si>
  <si>
    <t xml:space="preserve"> Net impairment loss on financial assets</t>
  </si>
  <si>
    <t xml:space="preserve"> Finance costs, net</t>
  </si>
  <si>
    <t xml:space="preserve"> Finance costs – lease liability</t>
  </si>
  <si>
    <t xml:space="preserve"> Share of results of joint ventures and associates</t>
  </si>
  <si>
    <t xml:space="preserve"> Impairment of goodwill</t>
  </si>
  <si>
    <t xml:space="preserve"> (Gain)/loss on sale of property and equipment</t>
  </si>
  <si>
    <t xml:space="preserve"> Gain on sale of a subsidiary</t>
  </si>
  <si>
    <t xml:space="preserve"> Gain on reversal of provision for property and customer goods</t>
  </si>
  <si>
    <t>Working capital adjustments:</t>
  </si>
  <si>
    <t xml:space="preserve"> Accounts receivable</t>
  </si>
  <si>
    <t xml:space="preserve"> Accounts payable</t>
  </si>
  <si>
    <t xml:space="preserve"> Other current assets</t>
  </si>
  <si>
    <t xml:space="preserve"> Other current liabilities</t>
  </si>
  <si>
    <t xml:space="preserve"> Deferred income</t>
  </si>
  <si>
    <t>Net cash flows generated from operating activities before employees’ end of service benefits and income tax paid</t>
  </si>
  <si>
    <t>Employees’ end of service benefits paid</t>
  </si>
  <si>
    <t>Income tax paid</t>
  </si>
  <si>
    <t>Net cash flows generated from operating activities</t>
  </si>
  <si>
    <t>INVESTING ACTIVITIES</t>
  </si>
  <si>
    <t>Purchase of property and equipment</t>
  </si>
  <si>
    <t>Proceeds from disposal of property and equipment</t>
  </si>
  <si>
    <t xml:space="preserve">Financial assets at fair value through other comprehensive income </t>
  </si>
  <si>
    <t>Interest received</t>
  </si>
  <si>
    <t xml:space="preserve">Net cash disposed from discontinued operations </t>
  </si>
  <si>
    <t>Proceeds from sale of a subsidiary</t>
  </si>
  <si>
    <t>Dividends from joint ventures</t>
  </si>
  <si>
    <t>Acquisition of a group of assets</t>
  </si>
  <si>
    <t>Other non-current assets</t>
  </si>
  <si>
    <t>Restricted cash*</t>
  </si>
  <si>
    <t>Loan granted to joint venture</t>
  </si>
  <si>
    <t>Net cash flows generated from/(used in) investing activities</t>
  </si>
  <si>
    <t>FINANCING ACTIVITIES</t>
  </si>
  <si>
    <t>Finance cost paid</t>
  </si>
  <si>
    <t>Proceeds from loans and borrowings</t>
  </si>
  <si>
    <t>Repayment of loans and borrowings</t>
  </si>
  <si>
    <t>Principal elements of lease payments</t>
  </si>
  <si>
    <t>Dividends paid to non-controlling interests</t>
  </si>
  <si>
    <t>Directors’ fees paid</t>
  </si>
  <si>
    <t>Dividends paid to shareholders</t>
  </si>
  <si>
    <t>Net cash flows used in financing activities</t>
  </si>
  <si>
    <t>NET (DECREASE)/INCREASE IN CASH AND CASH EQUIVALENTS</t>
  </si>
  <si>
    <t>Net foreign exchange difference</t>
  </si>
  <si>
    <t>Cash and cash equivalents at 1 January</t>
  </si>
  <si>
    <t>CASH AND CASH EQUIVALENTS AT 31 DECEMBER</t>
  </si>
  <si>
    <t>Profit before  tax from continuing operations</t>
  </si>
  <si>
    <t>Profit before  tax from discontinuing operations</t>
  </si>
  <si>
    <t>Profit before tax</t>
  </si>
  <si>
    <t xml:space="preserve">Margin deposits and fixed deposits </t>
  </si>
  <si>
    <t>Capex</t>
  </si>
  <si>
    <t>Amortization of other intangible assets</t>
  </si>
  <si>
    <t xml:space="preserve">Purchase of intangible assets </t>
  </si>
  <si>
    <t xml:space="preserve">Dividends % of capital </t>
  </si>
  <si>
    <t>Average revenue per shipment Courier</t>
  </si>
  <si>
    <t>Average cost per shipment Courier</t>
  </si>
  <si>
    <t>Aramex Historic Revenues by Product Segment 2020 - 2022</t>
  </si>
  <si>
    <t xml:space="preserve">Balance sheet </t>
  </si>
  <si>
    <t xml:space="preserve">Income statement </t>
  </si>
  <si>
    <t xml:space="preserve">North Asia </t>
  </si>
  <si>
    <t xml:space="preserve">South Asia </t>
  </si>
  <si>
    <t xml:space="preserve">Holding Companies </t>
  </si>
  <si>
    <t xml:space="preserve">Q2'22 vs Q2'21 </t>
  </si>
  <si>
    <t>Volumes are in abosulte figures- not rounded</t>
  </si>
  <si>
    <t>DOmestic</t>
  </si>
  <si>
    <t>Gulf</t>
  </si>
  <si>
    <t>Express</t>
  </si>
  <si>
    <t xml:space="preserve">S&amp;S </t>
  </si>
  <si>
    <t>Jun YTD'22 vs Jun YTD'21</t>
  </si>
  <si>
    <t>Jun YTD 2022</t>
  </si>
  <si>
    <t>Jun YTD 2021</t>
  </si>
  <si>
    <t xml:space="preserve">Total Revenues </t>
  </si>
  <si>
    <t xml:space="preserve">Less: Operating expenses </t>
  </si>
  <si>
    <t>Less: SG&amp;A Expenses</t>
  </si>
  <si>
    <t xml:space="preserve">Less:Cost of Services </t>
  </si>
  <si>
    <t xml:space="preserve">Operating Profit </t>
  </si>
  <si>
    <t xml:space="preserve">Net impairment loss on bank balances </t>
  </si>
  <si>
    <t xml:space="preserve">Net impairment loss on account receivables </t>
  </si>
  <si>
    <t xml:space="preserve">Other income /Expense </t>
  </si>
  <si>
    <t>Choose Currency:</t>
  </si>
  <si>
    <t>N/A</t>
  </si>
  <si>
    <t xml:space="preserve"> Basic and diluted earnings per share from continuing operation </t>
  </si>
  <si>
    <t xml:space="preserve"> Basic and diluted earnings per share from discontinuing operation </t>
  </si>
  <si>
    <t>Year 2019</t>
  </si>
  <si>
    <t>Year 2020</t>
  </si>
  <si>
    <t>GP %</t>
  </si>
  <si>
    <t xml:space="preserve">Dividends payout ratio </t>
  </si>
  <si>
    <t>Dividend per share (AED)</t>
  </si>
  <si>
    <t>Dividends</t>
  </si>
  <si>
    <t>Total Courier Volumes</t>
  </si>
  <si>
    <t xml:space="preserve">  Interest bearing loans and borrowings </t>
  </si>
  <si>
    <t>Revenue Growth</t>
  </si>
  <si>
    <t>AED</t>
  </si>
  <si>
    <t>Mar YTD '21</t>
  </si>
  <si>
    <t>Jun YTD'21</t>
  </si>
  <si>
    <t>Sep YTD'21</t>
  </si>
  <si>
    <t>Dec YTD'21</t>
  </si>
  <si>
    <t>Mar YTD'22</t>
  </si>
  <si>
    <t>Jun YTD'22</t>
  </si>
  <si>
    <t>Express +SnS</t>
  </si>
  <si>
    <t xml:space="preserve">Historic Courier Volume Data </t>
  </si>
  <si>
    <t>Aramex Historic Courier Revenues and Volumes 2018 - 2022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</si>
</sst>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_(* \(#,##0.00\);_(* &quot;-&quot;??_);_(@_)"/>
    <numFmt numFmtId="164" formatCode="_(* #,##0_);_(* \(#,##0\);_(* &quot;-&quot;??_);_(@_)"/>
    <numFmt numFmtId="165" formatCode="_(* #,##0.0_);_(* \(#,##0.0\);_(* &quot;-&quot;??_);_(@_)"/>
    <numFmt numFmtId="166" formatCode="0%;[Red]\(0%\)"/>
    <numFmt numFmtId="167" formatCode="0.0%_);[Red]\(0.0%\)"/>
    <numFmt numFmtId="168" formatCode="0.0"/>
    <numFmt numFmtId="169" formatCode="#,##0;\(#,##0\)"/>
    <numFmt numFmtId="170" formatCode="0%_);[Red]\(0%\)"/>
    <numFmt numFmtId="171" formatCode="0.0%"/>
    <numFmt numFmtId="172" formatCode="0.000"/>
    <numFmt numFmtId="173" formatCode="#,##0.000_);[Red]\(#,##0.000\)"/>
  </numFmts>
  <fonts count="3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Calibri"/>
      <family val="2"/>
      <scheme val="minor"/>
    </font>
    <font>
      <b/>
      <sz val="10"/>
      <name val="Calibri"/>
      <family val="2"/>
      <scheme val="minor"/>
    </font>
    <font>
      <b/>
      <sz val="10"/>
      <color rgb="FFFFFFFF"/>
      <name val="Calibri"/>
      <family val="2"/>
      <scheme val="minor"/>
    </font>
    <font>
      <sz val="10"/>
      <color rgb="FF000000"/>
      <name val="Calibri"/>
      <family val="2"/>
      <scheme val="minor"/>
    </font>
    <font>
      <b/>
      <sz val="11"/>
      <color theme="1"/>
      <name val="Calibri"/>
      <family val="2"/>
      <scheme val="minor"/>
    </font>
    <font>
      <sz val="40"/>
      <color theme="1"/>
      <name val="Calibri"/>
      <family val="2"/>
      <scheme val="minor"/>
    </font>
    <font>
      <u/>
      <sz val="10"/>
      <color theme="10"/>
      <name val="Arial"/>
      <family val="2"/>
    </font>
    <font>
      <b/>
      <u/>
      <sz val="10"/>
      <color rgb="FFFFFFFF"/>
      <name val="Calibri"/>
      <family val="2"/>
      <scheme val="minor"/>
    </font>
    <font>
      <sz val="10"/>
      <color rgb="FFFFFFFF"/>
      <name val="Calibri"/>
      <family val="2"/>
      <scheme val="minor"/>
    </font>
    <font>
      <i/>
      <sz val="10"/>
      <name val="Calibri"/>
      <family val="2"/>
      <scheme val="minor"/>
    </font>
    <font>
      <sz val="10"/>
      <color theme="0"/>
      <name val="Calibri"/>
      <family val="2"/>
      <scheme val="minor"/>
    </font>
    <font>
      <b/>
      <u/>
      <sz val="10"/>
      <color rgb="FF000000"/>
      <name val="Calibri"/>
      <family val="2"/>
      <scheme val="minor"/>
    </font>
    <font>
      <b/>
      <sz val="10"/>
      <color rgb="FF000000"/>
      <name val="Calibri"/>
      <family val="2"/>
      <scheme val="minor"/>
    </font>
    <font>
      <sz val="10"/>
      <color theme="1"/>
      <name val="Calibri"/>
      <family val="2"/>
      <scheme val="minor"/>
    </font>
    <font>
      <sz val="10"/>
      <color rgb="FFFF0000"/>
      <name val="Calibri"/>
      <family val="2"/>
      <scheme val="minor"/>
    </font>
    <font>
      <sz val="11"/>
      <color rgb="FF000000"/>
      <name val="Calibri"/>
      <family val="2"/>
      <scheme val="minor"/>
    </font>
    <font>
      <sz val="9"/>
      <color rgb="FF333333"/>
      <name val="Calibri"/>
      <family val="2"/>
      <scheme val="minor"/>
    </font>
    <font>
      <b/>
      <sz val="8"/>
      <color rgb="FF333333"/>
      <name val="Calibri"/>
      <family val="2"/>
      <scheme val="minor"/>
    </font>
    <font>
      <i/>
      <sz val="9"/>
      <color rgb="FF000000"/>
      <name val="Calibri"/>
      <family val="2"/>
      <scheme val="minor"/>
    </font>
    <font>
      <b/>
      <sz val="11"/>
      <color rgb="FF000000"/>
      <name val="Calibri"/>
      <family val="2"/>
      <scheme val="minor"/>
    </font>
    <font>
      <b/>
      <sz val="14"/>
      <name val="Calibri"/>
      <family val="2"/>
      <scheme val="minor"/>
    </font>
    <font>
      <b/>
      <sz val="12"/>
      <name val="Calibri"/>
      <family val="2"/>
      <scheme val="minor"/>
    </font>
    <font>
      <sz val="12"/>
      <name val="Calibri"/>
      <family val="2"/>
      <scheme val="minor"/>
    </font>
    <font>
      <sz val="11"/>
      <name val="Calibri"/>
      <family val="2"/>
      <scheme val="minor"/>
    </font>
    <font>
      <b/>
      <sz val="11"/>
      <name val="Calibri"/>
      <family val="2"/>
      <scheme val="minor"/>
    </font>
    <font>
      <i/>
      <sz val="10"/>
      <color rgb="FF000000"/>
      <name val="Calibri"/>
      <family val="2"/>
      <scheme val="minor"/>
    </font>
    <font>
      <sz val="9"/>
      <color rgb="FFFF0000"/>
      <name val="Calibri"/>
      <family val="2"/>
      <scheme val="minor"/>
    </font>
    <font>
      <b/>
      <sz val="10"/>
      <color theme="0"/>
      <name val="Calibri"/>
      <family val="2"/>
      <scheme val="minor"/>
    </font>
    <font>
      <sz val="10"/>
      <color rgb="FF1F497D"/>
      <name val="Calibri"/>
      <family val="2"/>
      <scheme val="minor"/>
    </font>
    <font>
      <u/>
      <sz val="10"/>
      <color theme="10"/>
      <name val="Calibri"/>
      <family val="2"/>
      <scheme val="minor"/>
    </font>
    <font>
      <b/>
      <sz val="11"/>
      <color rgb="FF333333"/>
      <name val="Calibri"/>
      <family val="2"/>
      <scheme val="minor"/>
    </font>
    <font>
      <i/>
      <sz val="11"/>
      <color rgb="FF000000"/>
      <name val="Calibri"/>
      <family val="2"/>
      <scheme val="minor"/>
    </font>
    <font>
      <b/>
      <sz val="10"/>
      <color rgb="FF333333"/>
      <name val="Calibri"/>
      <family val="2"/>
      <scheme val="minor"/>
    </font>
  </fonts>
  <fills count="18">
    <fill>
      <patternFill patternType="none"/>
    </fill>
    <fill>
      <patternFill patternType="gray125"/>
    </fill>
    <fill>
      <patternFill patternType="solid">
        <fgColor rgb="FFFFFFFF"/>
        <bgColor indexed="64"/>
      </patternFill>
    </fill>
    <fill>
      <patternFill patternType="solid">
        <fgColor rgb="FFF0F0F0"/>
        <bgColor indexed="64"/>
      </patternFill>
    </fill>
    <fill>
      <patternFill patternType="solid">
        <fgColor theme="0"/>
        <bgColor indexed="64"/>
      </patternFill>
    </fill>
    <fill>
      <patternFill patternType="solid">
        <fgColor rgb="FFE60000"/>
        <bgColor rgb="FF000000"/>
      </patternFill>
    </fill>
    <fill>
      <patternFill patternType="solid">
        <fgColor rgb="FFE60000"/>
        <bgColor rgb="FFFFFFFF"/>
      </patternFill>
    </fill>
    <fill>
      <patternFill patternType="solid">
        <fgColor rgb="FFFFFFFF"/>
        <bgColor rgb="FFFFFFFF"/>
      </patternFill>
    </fill>
    <fill>
      <patternFill patternType="solid">
        <fgColor rgb="FFD9D9D9"/>
        <bgColor rgb="FF000000"/>
      </patternFill>
    </fill>
    <fill>
      <patternFill patternType="solid">
        <fgColor rgb="FFD9D9D9"/>
        <bgColor rgb="FFFFFFFF"/>
      </patternFill>
    </fill>
    <fill>
      <patternFill patternType="solid">
        <fgColor rgb="FFFFFFFF"/>
        <bgColor rgb="FF000000"/>
      </patternFill>
    </fill>
    <fill>
      <patternFill patternType="solid">
        <fgColor rgb="FFF0F0F0"/>
        <bgColor rgb="FF000000"/>
      </patternFill>
    </fill>
    <fill>
      <patternFill patternType="solid">
        <fgColor rgb="FFFF0000"/>
        <bgColor indexed="64"/>
      </patternFill>
    </fill>
    <fill>
      <patternFill patternType="solid">
        <fgColor rgb="FFFF0000"/>
        <bgColor rgb="FF000000"/>
      </patternFill>
    </fill>
    <fill>
      <patternFill patternType="solid">
        <fgColor rgb="FFFF0000"/>
        <bgColor rgb="FFFFFFFF"/>
      </patternFill>
    </fill>
    <fill>
      <patternFill patternType="solid">
        <fgColor indexed="9"/>
        <bgColor indexed="64"/>
      </patternFill>
    </fill>
    <fill>
      <patternFill patternType="solid">
        <fgColor theme="2"/>
        <bgColor rgb="FFFFFFFF"/>
      </patternFill>
    </fill>
    <fill>
      <patternFill patternType="solid">
        <fgColor theme="2"/>
        <bgColor indexed="64"/>
      </patternFill>
    </fill>
  </fills>
  <borders count="34">
    <border>
      <left/>
      <right/>
      <top/>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hair">
        <color rgb="FF000000"/>
      </top>
      <bottom style="hair">
        <color rgb="FF000000"/>
      </bottom>
      <diagonal/>
    </border>
    <border>
      <left style="thin">
        <color rgb="FF000000"/>
      </left>
      <right/>
      <top style="hair">
        <color rgb="FF000000"/>
      </top>
      <bottom style="hair">
        <color rgb="FF000000"/>
      </bottom>
      <diagonal/>
    </border>
    <border>
      <left style="thin">
        <color indexed="64"/>
      </left>
      <right style="thin">
        <color indexed="64"/>
      </right>
      <top style="thin">
        <color indexed="64"/>
      </top>
      <bottom style="hair">
        <color rgb="FF000000"/>
      </bottom>
      <diagonal/>
    </border>
    <border>
      <left style="thin">
        <color indexed="64"/>
      </left>
      <right style="thin">
        <color indexed="64"/>
      </right>
      <top style="hair">
        <color rgb="FF000000"/>
      </top>
      <bottom style="hair">
        <color rgb="FF000000"/>
      </bottom>
      <diagonal/>
    </border>
    <border>
      <left style="thin">
        <color indexed="64"/>
      </left>
      <right style="thin">
        <color indexed="64"/>
      </right>
      <top style="hair">
        <color rgb="FF000000"/>
      </top>
      <bottom style="thin">
        <color indexed="64"/>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top/>
      <bottom style="thin">
        <color indexed="64"/>
      </bottom>
      <diagonal/>
    </border>
    <border>
      <left/>
      <right/>
      <top style="thin">
        <color indexed="64"/>
      </top>
      <bottom/>
      <diagonal/>
    </border>
    <border>
      <left/>
      <right/>
      <top/>
      <bottom style="thin">
        <color rgb="FFFF0000"/>
      </bottom>
      <diagonal/>
    </border>
    <border>
      <left style="thin">
        <color indexed="64"/>
      </left>
      <right style="thin">
        <color rgb="FF000000"/>
      </right>
      <top style="thin">
        <color indexed="64"/>
      </top>
      <bottom style="hair">
        <color rgb="FF000000"/>
      </bottom>
      <diagonal/>
    </border>
    <border>
      <left style="thin">
        <color rgb="FF000000"/>
      </left>
      <right style="thin">
        <color rgb="FF000000"/>
      </right>
      <top style="thin">
        <color indexed="64"/>
      </top>
      <bottom style="hair">
        <color rgb="FF000000"/>
      </bottom>
      <diagonal/>
    </border>
    <border>
      <left style="thin">
        <color rgb="FF000000"/>
      </left>
      <right style="thin">
        <color indexed="64"/>
      </right>
      <top style="thin">
        <color indexed="64"/>
      </top>
      <bottom/>
      <diagonal/>
    </border>
    <border>
      <left style="thin">
        <color indexed="64"/>
      </left>
      <right style="thin">
        <color rgb="FF000000"/>
      </right>
      <top style="hair">
        <color rgb="FF000000"/>
      </top>
      <bottom style="hair">
        <color rgb="FF000000"/>
      </bottom>
      <diagonal/>
    </border>
    <border>
      <left style="thin">
        <color indexed="64"/>
      </left>
      <right style="thin">
        <color rgb="FF000000"/>
      </right>
      <top style="hair">
        <color rgb="FF000000"/>
      </top>
      <bottom style="thin">
        <color indexed="64"/>
      </bottom>
      <diagonal/>
    </border>
    <border>
      <left style="thin">
        <color rgb="FF000000"/>
      </left>
      <right style="thin">
        <color rgb="FF000000"/>
      </right>
      <top style="hair">
        <color rgb="FF000000"/>
      </top>
      <bottom style="thin">
        <color indexed="64"/>
      </bottom>
      <diagonal/>
    </border>
    <border>
      <left style="thin">
        <color rgb="FF000000"/>
      </left>
      <right/>
      <top style="hair">
        <color rgb="FF000000"/>
      </top>
      <bottom style="thin">
        <color indexed="64"/>
      </bottom>
      <diagonal/>
    </border>
    <border>
      <left style="thin">
        <color rgb="FF000000"/>
      </left>
      <right style="thin">
        <color indexed="64"/>
      </right>
      <top style="thin">
        <color indexed="64"/>
      </top>
      <bottom style="hair">
        <color rgb="FF000000"/>
      </bottom>
      <diagonal/>
    </border>
    <border>
      <left style="thin">
        <color rgb="FF000000"/>
      </left>
      <right style="thin">
        <color indexed="64"/>
      </right>
      <top style="hair">
        <color rgb="FF000000"/>
      </top>
      <bottom style="hair">
        <color rgb="FF000000"/>
      </bottom>
      <diagonal/>
    </border>
    <border>
      <left style="thin">
        <color rgb="FF000000"/>
      </left>
      <right style="thin">
        <color indexed="64"/>
      </right>
      <top style="hair">
        <color rgb="FF000000"/>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thin">
        <color indexed="64"/>
      </top>
      <bottom style="double">
        <color indexed="64"/>
      </bottom>
      <diagonal/>
    </border>
    <border>
      <left style="thin">
        <color auto="1"/>
      </left>
      <right style="thin">
        <color auto="1"/>
      </right>
      <top style="hair">
        <color auto="1"/>
      </top>
      <bottom/>
      <diagonal/>
    </border>
    <border>
      <left/>
      <right style="medium">
        <color auto="1"/>
      </right>
      <top/>
      <bottom/>
      <diagonal/>
    </border>
    <border>
      <left/>
      <right style="medium">
        <color auto="1"/>
      </right>
      <top/>
      <bottom style="thin">
        <color indexed="64"/>
      </bottom>
      <diagonal/>
    </border>
    <border>
      <left style="dashDotDot">
        <color rgb="FFFF0000"/>
      </left>
      <right/>
      <top style="dashDotDot">
        <color rgb="FFFF0000"/>
      </top>
      <bottom style="dashDotDot">
        <color rgb="FFFF0000"/>
      </bottom>
      <diagonal/>
    </border>
    <border>
      <left/>
      <right/>
      <top style="dashDotDot">
        <color rgb="FFFF0000"/>
      </top>
      <bottom style="dashDotDot">
        <color rgb="FFFF0000"/>
      </bottom>
      <diagonal/>
    </border>
    <border>
      <left/>
      <right style="dashDotDot">
        <color rgb="FFFF0000"/>
      </right>
      <top style="dashDotDot">
        <color rgb="FFFF0000"/>
      </top>
      <bottom style="dashDotDot">
        <color rgb="FFFF0000"/>
      </bottom>
      <diagonal/>
    </border>
    <border>
      <left/>
      <right/>
      <top/>
      <bottom style="medium">
        <color auto="1"/>
      </bottom>
      <diagonal/>
    </border>
  </borders>
  <cellStyleXfs count="11">
    <xf numFmtId="0" fontId="0" fillId="0" borderId="0"/>
    <xf numFmtId="43" fontId="3"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43" fontId="2" fillId="0" borderId="0" applyFont="0" applyFill="0" applyBorder="0" applyAlignment="0" applyProtection="0"/>
    <xf numFmtId="0" fontId="11" fillId="0" borderId="0" applyNumberFormat="0" applyFill="0" applyBorder="0" applyAlignment="0" applyProtection="0"/>
    <xf numFmtId="0" fontId="4" fillId="0" borderId="0"/>
    <xf numFmtId="0" fontId="1" fillId="0" borderId="0"/>
  </cellStyleXfs>
  <cellXfs count="247">
    <xf numFmtId="0" fontId="0" fillId="0" borderId="0" xfId="0"/>
    <xf numFmtId="0" fontId="5" fillId="0" borderId="0" xfId="6" applyFont="1"/>
    <xf numFmtId="9" fontId="5" fillId="0" borderId="0" xfId="2" applyFont="1"/>
    <xf numFmtId="0" fontId="6" fillId="0" borderId="0" xfId="6" applyFont="1"/>
    <xf numFmtId="164" fontId="5" fillId="0" borderId="0" xfId="6" applyNumberFormat="1" applyFont="1"/>
    <xf numFmtId="164" fontId="8" fillId="2" borderId="3" xfId="7" applyNumberFormat="1" applyFont="1" applyFill="1" applyBorder="1" applyAlignment="1">
      <alignment horizontal="left" vertical="center"/>
    </xf>
    <xf numFmtId="164" fontId="8" fillId="2" borderId="4" xfId="7" applyNumberFormat="1" applyFont="1" applyFill="1" applyBorder="1" applyAlignment="1">
      <alignment horizontal="left" vertical="center"/>
    </xf>
    <xf numFmtId="164" fontId="8" fillId="2" borderId="5" xfId="7" applyNumberFormat="1" applyFont="1" applyFill="1" applyBorder="1" applyAlignment="1">
      <alignment horizontal="left" vertical="center"/>
    </xf>
    <xf numFmtId="164" fontId="8" fillId="3" borderId="3" xfId="7" applyNumberFormat="1" applyFont="1" applyFill="1" applyBorder="1" applyAlignment="1">
      <alignment horizontal="left" vertical="center"/>
    </xf>
    <xf numFmtId="164" fontId="8" fillId="3" borderId="4" xfId="7" applyNumberFormat="1" applyFont="1" applyFill="1" applyBorder="1" applyAlignment="1">
      <alignment horizontal="left" vertical="center"/>
    </xf>
    <xf numFmtId="164" fontId="8" fillId="3" borderId="6" xfId="7" applyNumberFormat="1" applyFont="1" applyFill="1" applyBorder="1" applyAlignment="1">
      <alignment horizontal="left" vertical="center"/>
    </xf>
    <xf numFmtId="164" fontId="8" fillId="2" borderId="6" xfId="7" applyNumberFormat="1" applyFont="1" applyFill="1" applyBorder="1" applyAlignment="1">
      <alignment horizontal="left" vertical="center"/>
    </xf>
    <xf numFmtId="0" fontId="5" fillId="0" borderId="0" xfId="6" applyFont="1" applyAlignment="1">
      <alignment horizontal="center"/>
    </xf>
    <xf numFmtId="0" fontId="10" fillId="4" borderId="0" xfId="0" applyFont="1" applyFill="1" applyBorder="1"/>
    <xf numFmtId="0" fontId="9" fillId="4" borderId="0" xfId="0" applyFont="1" applyFill="1" applyBorder="1"/>
    <xf numFmtId="0" fontId="8" fillId="2" borderId="3" xfId="6" applyFont="1" applyFill="1" applyBorder="1" applyAlignment="1">
      <alignment horizontal="left" vertical="center" wrapText="1"/>
    </xf>
    <xf numFmtId="0" fontId="5" fillId="0" borderId="0" xfId="6" applyFont="1" applyAlignment="1">
      <alignment horizontal="left"/>
    </xf>
    <xf numFmtId="0" fontId="8" fillId="3" borderId="3" xfId="6" applyFont="1" applyFill="1" applyBorder="1" applyAlignment="1">
      <alignment horizontal="left" vertical="center" wrapText="1" indent="2"/>
    </xf>
    <xf numFmtId="0" fontId="8" fillId="2" borderId="3" xfId="6" applyFont="1" applyFill="1" applyBorder="1" applyAlignment="1">
      <alignment horizontal="left" vertical="center" wrapText="1" indent="2"/>
    </xf>
    <xf numFmtId="0" fontId="5" fillId="0" borderId="0" xfId="6" applyFont="1" applyAlignment="1"/>
    <xf numFmtId="0" fontId="11" fillId="0" borderId="0" xfId="8" applyAlignment="1">
      <alignment horizontal="left" indent="1"/>
    </xf>
    <xf numFmtId="0" fontId="5" fillId="0" borderId="0" xfId="0" applyFont="1"/>
    <xf numFmtId="0" fontId="9" fillId="0" borderId="0" xfId="0" applyFont="1"/>
    <xf numFmtId="0" fontId="5" fillId="0" borderId="0" xfId="9" applyFont="1"/>
    <xf numFmtId="0" fontId="6" fillId="0" borderId="0" xfId="9" applyFont="1"/>
    <xf numFmtId="0" fontId="5" fillId="0" borderId="0" xfId="9" quotePrefix="1" applyFont="1" applyAlignment="1">
      <alignment horizontal="left"/>
    </xf>
    <xf numFmtId="0" fontId="6" fillId="0" borderId="0" xfId="9" quotePrefix="1" applyFont="1" applyAlignment="1">
      <alignment horizontal="left"/>
    </xf>
    <xf numFmtId="0" fontId="5" fillId="0" borderId="0" xfId="9" applyFont="1" applyAlignment="1">
      <alignment horizontal="left"/>
    </xf>
    <xf numFmtId="0" fontId="14" fillId="0" borderId="0" xfId="9" applyFont="1"/>
    <xf numFmtId="38" fontId="5" fillId="0" borderId="0" xfId="0" applyNumberFormat="1" applyFont="1"/>
    <xf numFmtId="38" fontId="6" fillId="0" borderId="12" xfId="9" applyNumberFormat="1" applyFont="1" applyBorder="1"/>
    <xf numFmtId="38" fontId="9" fillId="0" borderId="24" xfId="0" applyNumberFormat="1" applyFont="1" applyBorder="1"/>
    <xf numFmtId="172" fontId="5" fillId="0" borderId="0" xfId="0" applyNumberFormat="1" applyFont="1"/>
    <xf numFmtId="170" fontId="5" fillId="0" borderId="0" xfId="2" applyNumberFormat="1" applyFont="1"/>
    <xf numFmtId="170" fontId="5" fillId="0" borderId="0" xfId="0" applyNumberFormat="1" applyFont="1"/>
    <xf numFmtId="38" fontId="6" fillId="0" borderId="0" xfId="9" applyNumberFormat="1" applyFont="1" applyBorder="1"/>
    <xf numFmtId="173" fontId="5" fillId="0" borderId="0" xfId="0" applyNumberFormat="1" applyFont="1"/>
    <xf numFmtId="38" fontId="5" fillId="0" borderId="11" xfId="0" applyNumberFormat="1" applyFont="1" applyBorder="1"/>
    <xf numFmtId="170" fontId="5" fillId="0" borderId="11" xfId="2" applyNumberFormat="1" applyFont="1" applyBorder="1"/>
    <xf numFmtId="38" fontId="6" fillId="0" borderId="0" xfId="0" applyNumberFormat="1" applyFont="1"/>
    <xf numFmtId="170" fontId="6" fillId="0" borderId="0" xfId="2" applyNumberFormat="1" applyFont="1"/>
    <xf numFmtId="38" fontId="6" fillId="0" borderId="24" xfId="0" applyNumberFormat="1" applyFont="1" applyBorder="1"/>
    <xf numFmtId="170" fontId="6" fillId="0" borderId="24" xfId="2" applyNumberFormat="1" applyFont="1" applyBorder="1"/>
    <xf numFmtId="0" fontId="5" fillId="0" borderId="0" xfId="0" applyFont="1" applyAlignment="1">
      <alignment wrapText="1"/>
    </xf>
    <xf numFmtId="38" fontId="9" fillId="0" borderId="25" xfId="0" applyNumberFormat="1" applyFont="1" applyBorder="1"/>
    <xf numFmtId="38" fontId="9" fillId="0" borderId="26" xfId="0" applyNumberFormat="1" applyFont="1" applyBorder="1"/>
    <xf numFmtId="38" fontId="9" fillId="0" borderId="12" xfId="0" applyNumberFormat="1" applyFont="1" applyBorder="1"/>
    <xf numFmtId="40" fontId="5" fillId="0" borderId="0" xfId="0" applyNumberFormat="1" applyFont="1" applyFill="1"/>
    <xf numFmtId="0" fontId="16" fillId="0" borderId="0" xfId="0" applyFont="1" applyAlignment="1">
      <alignment horizontal="justify" vertical="center" wrapText="1"/>
    </xf>
    <xf numFmtId="0" fontId="8" fillId="0" borderId="0" xfId="0" quotePrefix="1" applyFont="1" applyAlignment="1">
      <alignment vertical="center"/>
    </xf>
    <xf numFmtId="0" fontId="8" fillId="0" borderId="0" xfId="0" applyFont="1" applyAlignment="1">
      <alignment horizontal="left" vertical="center"/>
    </xf>
    <xf numFmtId="0" fontId="17" fillId="0" borderId="0" xfId="0" applyFont="1" applyAlignment="1">
      <alignment horizontal="left" vertical="center"/>
    </xf>
    <xf numFmtId="0" fontId="18" fillId="0" borderId="0" xfId="0" applyFont="1"/>
    <xf numFmtId="0" fontId="17" fillId="0" borderId="0" xfId="0" applyFont="1" applyAlignment="1">
      <alignment horizontal="left" vertical="center" wrapText="1"/>
    </xf>
    <xf numFmtId="0" fontId="8" fillId="0" borderId="0" xfId="0" applyFont="1" applyAlignment="1">
      <alignment horizontal="justify" vertical="center" wrapText="1"/>
    </xf>
    <xf numFmtId="0" fontId="18" fillId="0" borderId="0" xfId="0" applyFont="1" applyAlignment="1">
      <alignment horizontal="justify" vertical="center" wrapText="1"/>
    </xf>
    <xf numFmtId="0" fontId="8" fillId="0" borderId="0" xfId="0" applyFont="1" applyAlignment="1">
      <alignment vertical="center" wrapText="1"/>
    </xf>
    <xf numFmtId="38" fontId="9" fillId="0" borderId="24" xfId="0" applyNumberFormat="1" applyFont="1" applyBorder="1" applyAlignment="1">
      <alignment horizontal="center" vertical="center"/>
    </xf>
    <xf numFmtId="38" fontId="9" fillId="0" borderId="24" xfId="0" applyNumberFormat="1" applyFont="1" applyBorder="1" applyAlignment="1">
      <alignment horizontal="center"/>
    </xf>
    <xf numFmtId="38" fontId="5" fillId="0" borderId="0" xfId="0" applyNumberFormat="1" applyFont="1" applyAlignment="1">
      <alignment horizontal="center"/>
    </xf>
    <xf numFmtId="0" fontId="19" fillId="0" borderId="0" xfId="0" applyFont="1"/>
    <xf numFmtId="0" fontId="5" fillId="0" borderId="8" xfId="0" applyFont="1" applyBorder="1"/>
    <xf numFmtId="0" fontId="5" fillId="0" borderId="9" xfId="0" applyFont="1" applyBorder="1"/>
    <xf numFmtId="0" fontId="5" fillId="0" borderId="27" xfId="0" applyFont="1" applyBorder="1"/>
    <xf numFmtId="38" fontId="5" fillId="0" borderId="0" xfId="0" applyNumberFormat="1" applyFont="1" applyAlignment="1"/>
    <xf numFmtId="38" fontId="5" fillId="0" borderId="0" xfId="0" applyNumberFormat="1" applyFont="1" applyAlignment="1">
      <alignment vertical="center"/>
    </xf>
    <xf numFmtId="38" fontId="5" fillId="0" borderId="0" xfId="1" applyNumberFormat="1" applyFont="1" applyAlignment="1">
      <alignment horizontal="center" vertical="center"/>
    </xf>
    <xf numFmtId="38" fontId="9" fillId="0" borderId="12" xfId="0" applyNumberFormat="1" applyFont="1" applyBorder="1" applyAlignment="1">
      <alignment horizontal="center" vertical="center"/>
    </xf>
    <xf numFmtId="38" fontId="5" fillId="0" borderId="0" xfId="0" applyNumberFormat="1" applyFont="1" applyAlignment="1">
      <alignment horizontal="center" vertical="center"/>
    </xf>
    <xf numFmtId="38" fontId="5" fillId="0" borderId="11" xfId="0" applyNumberFormat="1" applyFont="1" applyBorder="1" applyAlignment="1">
      <alignment horizontal="center" vertical="center"/>
    </xf>
    <xf numFmtId="38" fontId="5" fillId="0" borderId="12" xfId="0" applyNumberFormat="1" applyFont="1" applyBorder="1" applyAlignment="1">
      <alignment horizontal="center" vertical="center"/>
    </xf>
    <xf numFmtId="38" fontId="9" fillId="0" borderId="0" xfId="0" applyNumberFormat="1" applyFont="1" applyAlignment="1">
      <alignment horizontal="center" vertical="center"/>
    </xf>
    <xf numFmtId="0" fontId="5" fillId="0" borderId="0" xfId="0" applyFont="1" applyAlignment="1">
      <alignment vertical="center"/>
    </xf>
    <xf numFmtId="0" fontId="20" fillId="0" borderId="0" xfId="0" applyFont="1" applyFill="1" applyBorder="1"/>
    <xf numFmtId="0" fontId="6" fillId="0" borderId="0" xfId="0" applyFont="1"/>
    <xf numFmtId="0" fontId="12" fillId="5" borderId="0" xfId="0" applyFont="1" applyFill="1" applyBorder="1" applyAlignment="1">
      <alignment horizontal="left"/>
    </xf>
    <xf numFmtId="49" fontId="7" fillId="5" borderId="0" xfId="0" applyNumberFormat="1" applyFont="1" applyFill="1" applyBorder="1" applyAlignment="1"/>
    <xf numFmtId="0" fontId="13" fillId="6" borderId="13" xfId="0" applyFont="1" applyFill="1" applyBorder="1" applyAlignment="1">
      <alignment horizontal="left"/>
    </xf>
    <xf numFmtId="0" fontId="7" fillId="5" borderId="0" xfId="0" applyFont="1" applyFill="1" applyBorder="1" applyAlignment="1">
      <alignment horizontal="left"/>
    </xf>
    <xf numFmtId="0" fontId="21" fillId="7" borderId="0" xfId="0" applyFont="1" applyFill="1" applyBorder="1" applyAlignment="1">
      <alignment horizontal="left"/>
    </xf>
    <xf numFmtId="49" fontId="22" fillId="7" borderId="0" xfId="0" applyNumberFormat="1" applyFont="1" applyFill="1" applyBorder="1" applyAlignment="1">
      <alignment horizontal="center"/>
    </xf>
    <xf numFmtId="49" fontId="23" fillId="0" borderId="0" xfId="0" applyNumberFormat="1" applyFont="1" applyFill="1" applyBorder="1" applyAlignment="1">
      <alignment horizontal="left" indent="2"/>
    </xf>
    <xf numFmtId="0" fontId="24" fillId="0" borderId="0" xfId="0" applyFont="1" applyFill="1" applyBorder="1"/>
    <xf numFmtId="0" fontId="24" fillId="8" borderId="0" xfId="0" applyFont="1" applyFill="1" applyBorder="1"/>
    <xf numFmtId="0" fontId="5" fillId="0" borderId="0" xfId="0" applyFont="1" applyFill="1"/>
    <xf numFmtId="38" fontId="5" fillId="0" borderId="0" xfId="1" applyNumberFormat="1" applyFont="1" applyFill="1" applyBorder="1" applyAlignment="1">
      <alignment horizontal="right"/>
    </xf>
    <xf numFmtId="166" fontId="5" fillId="0" borderId="0" xfId="4" applyNumberFormat="1" applyFont="1" applyFill="1" applyBorder="1" applyAlignment="1">
      <alignment horizontal="right"/>
    </xf>
    <xf numFmtId="164" fontId="5" fillId="0" borderId="0" xfId="1" applyNumberFormat="1" applyFont="1" applyFill="1"/>
    <xf numFmtId="167" fontId="5" fillId="0" borderId="0" xfId="3" applyNumberFormat="1" applyFont="1" applyFill="1" applyBorder="1" applyAlignment="1">
      <alignment horizontal="center"/>
    </xf>
    <xf numFmtId="164" fontId="5" fillId="0" borderId="0" xfId="1" applyNumberFormat="1" applyFont="1" applyFill="1" applyBorder="1"/>
    <xf numFmtId="164" fontId="5" fillId="0" borderId="0" xfId="1" applyNumberFormat="1" applyFont="1" applyFill="1" applyBorder="1" applyAlignment="1">
      <alignment horizontal="center"/>
    </xf>
    <xf numFmtId="38" fontId="5" fillId="0" borderId="0" xfId="3" applyNumberFormat="1" applyFont="1" applyBorder="1"/>
    <xf numFmtId="38" fontId="6" fillId="0" borderId="0" xfId="3" applyNumberFormat="1" applyFont="1" applyBorder="1"/>
    <xf numFmtId="165" fontId="5" fillId="0" borderId="0" xfId="1" applyNumberFormat="1" applyFont="1"/>
    <xf numFmtId="164" fontId="5" fillId="0" borderId="0" xfId="1" applyNumberFormat="1" applyFont="1"/>
    <xf numFmtId="0" fontId="6" fillId="0" borderId="26" xfId="0" applyFont="1" applyBorder="1"/>
    <xf numFmtId="164" fontId="6" fillId="0" borderId="26" xfId="0" applyNumberFormat="1" applyFont="1" applyBorder="1"/>
    <xf numFmtId="165" fontId="5" fillId="0" borderId="0" xfId="0" applyNumberFormat="1" applyFont="1"/>
    <xf numFmtId="0" fontId="7" fillId="12" borderId="1" xfId="6" applyFont="1" applyFill="1" applyBorder="1" applyAlignment="1">
      <alignment horizontal="left" vertical="center" wrapText="1"/>
    </xf>
    <xf numFmtId="0" fontId="7" fillId="12" borderId="1" xfId="6" applyFont="1" applyFill="1" applyBorder="1" applyAlignment="1">
      <alignment horizontal="center" vertical="center" wrapText="1"/>
    </xf>
    <xf numFmtId="0" fontId="7" fillId="12" borderId="2" xfId="6" applyFont="1" applyFill="1" applyBorder="1" applyAlignment="1">
      <alignment horizontal="center" vertical="center" wrapText="1"/>
    </xf>
    <xf numFmtId="0" fontId="7" fillId="12" borderId="14" xfId="6" applyFont="1" applyFill="1" applyBorder="1" applyAlignment="1">
      <alignment horizontal="left" vertical="center"/>
    </xf>
    <xf numFmtId="0" fontId="7" fillId="12" borderId="15" xfId="6" applyFont="1" applyFill="1" applyBorder="1" applyAlignment="1">
      <alignment horizontal="center" vertical="center" wrapText="1"/>
    </xf>
    <xf numFmtId="0" fontId="7" fillId="12" borderId="16" xfId="6" applyFont="1" applyFill="1" applyBorder="1" applyAlignment="1">
      <alignment horizontal="center" vertical="center" wrapText="1"/>
    </xf>
    <xf numFmtId="0" fontId="8" fillId="10" borderId="17" xfId="6" applyFont="1" applyFill="1" applyBorder="1" applyAlignment="1">
      <alignment horizontal="left" vertical="center"/>
    </xf>
    <xf numFmtId="164" fontId="8" fillId="10" borderId="3" xfId="7" applyNumberFormat="1" applyFont="1" applyFill="1" applyBorder="1" applyAlignment="1">
      <alignment horizontal="left" vertical="center"/>
    </xf>
    <xf numFmtId="164" fontId="8" fillId="10" borderId="4" xfId="7" applyNumberFormat="1" applyFont="1" applyFill="1" applyBorder="1" applyAlignment="1">
      <alignment horizontal="left" vertical="center"/>
    </xf>
    <xf numFmtId="164" fontId="8" fillId="10" borderId="5" xfId="7" applyNumberFormat="1" applyFont="1" applyFill="1" applyBorder="1" applyAlignment="1">
      <alignment horizontal="left" vertical="center"/>
    </xf>
    <xf numFmtId="0" fontId="8" fillId="11" borderId="17" xfId="6" applyFont="1" applyFill="1" applyBorder="1" applyAlignment="1">
      <alignment horizontal="left" vertical="center" indent="2"/>
    </xf>
    <xf numFmtId="164" fontId="8" fillId="11" borderId="3" xfId="7" applyNumberFormat="1" applyFont="1" applyFill="1" applyBorder="1" applyAlignment="1">
      <alignment horizontal="left" vertical="center"/>
    </xf>
    <xf numFmtId="164" fontId="8" fillId="11" borderId="4" xfId="7" applyNumberFormat="1" applyFont="1" applyFill="1" applyBorder="1" applyAlignment="1">
      <alignment horizontal="left" vertical="center"/>
    </xf>
    <xf numFmtId="164" fontId="8" fillId="11" borderId="6" xfId="7" applyNumberFormat="1" applyFont="1" applyFill="1" applyBorder="1" applyAlignment="1">
      <alignment horizontal="left" vertical="center"/>
    </xf>
    <xf numFmtId="0" fontId="8" fillId="10" borderId="18" xfId="6" applyFont="1" applyFill="1" applyBorder="1" applyAlignment="1">
      <alignment horizontal="left" vertical="center" indent="2"/>
    </xf>
    <xf numFmtId="164" fontId="8" fillId="10" borderId="19" xfId="7" applyNumberFormat="1" applyFont="1" applyFill="1" applyBorder="1" applyAlignment="1">
      <alignment horizontal="left" vertical="center"/>
    </xf>
    <xf numFmtId="164" fontId="8" fillId="10" borderId="20" xfId="7" applyNumberFormat="1" applyFont="1" applyFill="1" applyBorder="1" applyAlignment="1">
      <alignment horizontal="left" vertical="center"/>
    </xf>
    <xf numFmtId="164" fontId="8" fillId="10" borderId="7" xfId="7" applyNumberFormat="1" applyFont="1" applyFill="1" applyBorder="1" applyAlignment="1">
      <alignment horizontal="left" vertical="center"/>
    </xf>
    <xf numFmtId="0" fontId="5" fillId="0" borderId="0" xfId="6" applyFont="1" applyFill="1" applyBorder="1" applyAlignment="1">
      <alignment horizontal="left"/>
    </xf>
    <xf numFmtId="0" fontId="5" fillId="0" borderId="0" xfId="6" applyFont="1" applyFill="1" applyBorder="1" applyAlignment="1">
      <alignment horizontal="center"/>
    </xf>
    <xf numFmtId="0" fontId="7" fillId="12" borderId="21" xfId="6" applyFont="1" applyFill="1" applyBorder="1" applyAlignment="1">
      <alignment horizontal="center" vertical="center" wrapText="1"/>
    </xf>
    <xf numFmtId="164" fontId="8" fillId="10" borderId="3" xfId="7" applyNumberFormat="1" applyFont="1" applyFill="1" applyBorder="1" applyAlignment="1">
      <alignment horizontal="center" vertical="center" wrapText="1"/>
    </xf>
    <xf numFmtId="164" fontId="8" fillId="10" borderId="22" xfId="7" applyNumberFormat="1" applyFont="1" applyFill="1" applyBorder="1" applyAlignment="1">
      <alignment horizontal="center" vertical="center" wrapText="1"/>
    </xf>
    <xf numFmtId="164" fontId="8" fillId="11" borderId="3" xfId="7" applyNumberFormat="1" applyFont="1" applyFill="1" applyBorder="1" applyAlignment="1">
      <alignment horizontal="center" vertical="center" wrapText="1"/>
    </xf>
    <xf numFmtId="164" fontId="8" fillId="11" borderId="22" xfId="7" applyNumberFormat="1" applyFont="1" applyFill="1" applyBorder="1" applyAlignment="1">
      <alignment horizontal="center" vertical="center" wrapText="1"/>
    </xf>
    <xf numFmtId="164" fontId="8" fillId="10" borderId="19" xfId="7" applyNumberFormat="1" applyFont="1" applyFill="1" applyBorder="1" applyAlignment="1">
      <alignment horizontal="center" vertical="center" wrapText="1"/>
    </xf>
    <xf numFmtId="164" fontId="8" fillId="10" borderId="23" xfId="7" applyNumberFormat="1" applyFont="1" applyFill="1" applyBorder="1" applyAlignment="1">
      <alignment horizontal="center" vertical="center" wrapText="1"/>
    </xf>
    <xf numFmtId="164" fontId="8" fillId="11" borderId="23" xfId="7" applyNumberFormat="1" applyFont="1" applyFill="1" applyBorder="1" applyAlignment="1">
      <alignment horizontal="center" vertical="center" wrapText="1"/>
    </xf>
    <xf numFmtId="165" fontId="8" fillId="11" borderId="3" xfId="7" applyNumberFormat="1" applyFont="1" applyFill="1" applyBorder="1" applyAlignment="1">
      <alignment horizontal="center" vertical="center" wrapText="1"/>
    </xf>
    <xf numFmtId="165" fontId="8" fillId="11" borderId="22" xfId="7" applyNumberFormat="1" applyFont="1" applyFill="1" applyBorder="1" applyAlignment="1">
      <alignment horizontal="center" vertical="center" wrapText="1"/>
    </xf>
    <xf numFmtId="164" fontId="30" fillId="10" borderId="19" xfId="7" applyNumberFormat="1" applyFont="1" applyFill="1" applyBorder="1" applyAlignment="1">
      <alignment horizontal="center" vertical="center" wrapText="1"/>
    </xf>
    <xf numFmtId="165" fontId="30" fillId="10" borderId="19" xfId="7" applyNumberFormat="1" applyFont="1" applyFill="1" applyBorder="1" applyAlignment="1">
      <alignment horizontal="center" vertical="center" wrapText="1"/>
    </xf>
    <xf numFmtId="0" fontId="29" fillId="0" borderId="0" xfId="0" applyFont="1"/>
    <xf numFmtId="0" fontId="31" fillId="0" borderId="0" xfId="0" applyFont="1"/>
    <xf numFmtId="0" fontId="5" fillId="12" borderId="0" xfId="0" applyFont="1" applyFill="1"/>
    <xf numFmtId="38" fontId="5" fillId="0" borderId="8" xfId="1" applyNumberFormat="1" applyFont="1" applyBorder="1"/>
    <xf numFmtId="38" fontId="5" fillId="0" borderId="9" xfId="1" applyNumberFormat="1" applyFont="1" applyBorder="1"/>
    <xf numFmtId="0" fontId="5" fillId="0" borderId="10" xfId="0" applyFont="1" applyBorder="1"/>
    <xf numFmtId="0" fontId="5" fillId="0" borderId="0" xfId="0" applyFont="1" applyBorder="1"/>
    <xf numFmtId="38" fontId="5" fillId="0" borderId="0" xfId="1" applyNumberFormat="1" applyFont="1" applyBorder="1"/>
    <xf numFmtId="0" fontId="12" fillId="13" borderId="0" xfId="0" applyFont="1" applyFill="1" applyBorder="1" applyAlignment="1">
      <alignment horizontal="left"/>
    </xf>
    <xf numFmtId="49" fontId="7" fillId="13" borderId="0" xfId="0" applyNumberFormat="1" applyFont="1" applyFill="1" applyBorder="1" applyAlignment="1"/>
    <xf numFmtId="0" fontId="13" fillId="14" borderId="11" xfId="0" applyFont="1" applyFill="1" applyBorder="1" applyAlignment="1">
      <alignment horizontal="left"/>
    </xf>
    <xf numFmtId="49" fontId="7" fillId="13" borderId="11" xfId="0" applyNumberFormat="1" applyFont="1" applyFill="1" applyBorder="1" applyAlignment="1">
      <alignment horizontal="center"/>
    </xf>
    <xf numFmtId="49" fontId="7" fillId="13" borderId="11" xfId="0" applyNumberFormat="1" applyFont="1" applyFill="1" applyBorder="1" applyAlignment="1">
      <alignment horizontal="center" wrapText="1"/>
    </xf>
    <xf numFmtId="0" fontId="7" fillId="13" borderId="11" xfId="0" applyFont="1" applyFill="1" applyBorder="1" applyAlignment="1">
      <alignment horizontal="left"/>
    </xf>
    <xf numFmtId="0" fontId="26" fillId="0" borderId="0" xfId="0" applyFont="1"/>
    <xf numFmtId="0" fontId="32" fillId="12" borderId="0" xfId="0" applyFont="1" applyFill="1" applyAlignment="1">
      <alignment horizontal="center"/>
    </xf>
    <xf numFmtId="43" fontId="5" fillId="0" borderId="0" xfId="0" applyNumberFormat="1" applyFont="1" applyFill="1"/>
    <xf numFmtId="170" fontId="5" fillId="0" borderId="0" xfId="0" applyNumberFormat="1" applyFont="1" applyAlignment="1">
      <alignment horizontal="center"/>
    </xf>
    <xf numFmtId="0" fontId="13" fillId="6" borderId="0" xfId="0" applyFont="1" applyFill="1" applyBorder="1" applyAlignment="1">
      <alignment horizontal="left"/>
    </xf>
    <xf numFmtId="0" fontId="25" fillId="0" borderId="0" xfId="0" applyFont="1"/>
    <xf numFmtId="0" fontId="5" fillId="0" borderId="0" xfId="0" applyFont="1" applyAlignment="1">
      <alignment horizontal="center"/>
    </xf>
    <xf numFmtId="0" fontId="5" fillId="15" borderId="0" xfId="0" applyFont="1" applyFill="1"/>
    <xf numFmtId="166" fontId="5" fillId="0" borderId="0" xfId="0" applyNumberFormat="1" applyFont="1"/>
    <xf numFmtId="9" fontId="5" fillId="0" borderId="0" xfId="2" applyFont="1" applyBorder="1" applyAlignment="1">
      <alignment horizontal="center"/>
    </xf>
    <xf numFmtId="166" fontId="5" fillId="0" borderId="0" xfId="4" applyNumberFormat="1" applyFont="1" applyBorder="1" applyAlignment="1">
      <alignment horizontal="right"/>
    </xf>
    <xf numFmtId="38" fontId="5" fillId="0" borderId="0" xfId="1" applyNumberFormat="1" applyFont="1" applyBorder="1" applyAlignment="1">
      <alignment horizontal="right"/>
    </xf>
    <xf numFmtId="38" fontId="6" fillId="0" borderId="0" xfId="1" applyNumberFormat="1" applyFont="1" applyBorder="1" applyAlignment="1">
      <alignment horizontal="right"/>
    </xf>
    <xf numFmtId="166" fontId="6" fillId="0" borderId="0" xfId="4" applyNumberFormat="1" applyFont="1" applyBorder="1" applyAlignment="1">
      <alignment horizontal="right"/>
    </xf>
    <xf numFmtId="164" fontId="5" fillId="0" borderId="0" xfId="3" applyNumberFormat="1" applyFont="1" applyBorder="1" applyAlignment="1">
      <alignment horizontal="center"/>
    </xf>
    <xf numFmtId="167" fontId="5" fillId="0" borderId="0" xfId="3" applyNumberFormat="1" applyFont="1" applyBorder="1" applyAlignment="1">
      <alignment horizontal="center"/>
    </xf>
    <xf numFmtId="0" fontId="27" fillId="0" borderId="0" xfId="0" applyFont="1"/>
    <xf numFmtId="164" fontId="5" fillId="0" borderId="0" xfId="1" applyNumberFormat="1" applyFont="1" applyBorder="1" applyAlignment="1">
      <alignment horizontal="center"/>
    </xf>
    <xf numFmtId="43" fontId="5" fillId="0" borderId="0" xfId="0" applyNumberFormat="1" applyFont="1"/>
    <xf numFmtId="0" fontId="5" fillId="0" borderId="11" xfId="0" applyFont="1" applyBorder="1"/>
    <xf numFmtId="43" fontId="5" fillId="0" borderId="11" xfId="0" applyNumberFormat="1" applyFont="1" applyBorder="1"/>
    <xf numFmtId="164" fontId="5" fillId="0" borderId="0" xfId="0" applyNumberFormat="1" applyFont="1"/>
    <xf numFmtId="168" fontId="5" fillId="0" borderId="0" xfId="0" applyNumberFormat="1" applyFont="1"/>
    <xf numFmtId="164" fontId="19" fillId="0" borderId="0" xfId="0" applyNumberFormat="1" applyFont="1"/>
    <xf numFmtId="164" fontId="19" fillId="0" borderId="0" xfId="1" applyNumberFormat="1" applyFont="1"/>
    <xf numFmtId="0" fontId="13" fillId="6" borderId="0" xfId="0" applyFont="1" applyFill="1" applyBorder="1" applyAlignment="1">
      <alignment horizontal="center"/>
    </xf>
    <xf numFmtId="40" fontId="6" fillId="0" borderId="0" xfId="3" applyNumberFormat="1" applyFont="1" applyFill="1" applyBorder="1"/>
    <xf numFmtId="0" fontId="5" fillId="0" borderId="28" xfId="0" applyFont="1" applyBorder="1"/>
    <xf numFmtId="164" fontId="5" fillId="0" borderId="28" xfId="1" applyNumberFormat="1" applyFont="1" applyBorder="1"/>
    <xf numFmtId="0" fontId="5" fillId="0" borderId="29" xfId="0" applyFont="1" applyBorder="1"/>
    <xf numFmtId="171" fontId="5" fillId="0" borderId="28" xfId="0" applyNumberFormat="1" applyFont="1" applyBorder="1"/>
    <xf numFmtId="0" fontId="19" fillId="0" borderId="28" xfId="0" applyFont="1" applyBorder="1"/>
    <xf numFmtId="0" fontId="28" fillId="0" borderId="0" xfId="0" applyFont="1" applyAlignment="1">
      <alignment vertical="center"/>
    </xf>
    <xf numFmtId="0" fontId="5" fillId="0" borderId="30" xfId="0" applyFont="1" applyBorder="1"/>
    <xf numFmtId="0" fontId="5" fillId="0" borderId="31" xfId="0" applyFont="1" applyBorder="1"/>
    <xf numFmtId="0" fontId="5" fillId="0" borderId="32" xfId="0" applyFont="1" applyBorder="1"/>
    <xf numFmtId="0" fontId="5" fillId="0" borderId="33" xfId="0" applyFont="1" applyBorder="1"/>
    <xf numFmtId="0" fontId="7" fillId="0" borderId="0" xfId="0" applyFont="1" applyFill="1" applyBorder="1" applyAlignment="1"/>
    <xf numFmtId="0" fontId="6" fillId="0" borderId="0" xfId="0" applyFont="1" applyFill="1" applyBorder="1" applyAlignment="1"/>
    <xf numFmtId="38" fontId="5" fillId="0" borderId="27" xfId="1" applyNumberFormat="1" applyFont="1" applyBorder="1"/>
    <xf numFmtId="170" fontId="5" fillId="0" borderId="27" xfId="2" applyNumberFormat="1" applyFont="1" applyBorder="1"/>
    <xf numFmtId="170" fontId="5" fillId="0" borderId="9" xfId="2" applyNumberFormat="1" applyFont="1" applyBorder="1"/>
    <xf numFmtId="170" fontId="5" fillId="0" borderId="10" xfId="2" applyNumberFormat="1" applyFont="1" applyBorder="1"/>
    <xf numFmtId="0" fontId="33" fillId="0" borderId="0" xfId="0" applyFont="1" applyAlignment="1">
      <alignment vertical="center"/>
    </xf>
    <xf numFmtId="0" fontId="15" fillId="0" borderId="0" xfId="6" applyFont="1"/>
    <xf numFmtId="0" fontId="15" fillId="0" borderId="0" xfId="0" applyFont="1"/>
    <xf numFmtId="0" fontId="5" fillId="4" borderId="0" xfId="0" applyFont="1" applyFill="1" applyBorder="1"/>
    <xf numFmtId="0" fontId="6" fillId="15" borderId="0" xfId="0" applyFont="1" applyFill="1"/>
    <xf numFmtId="0" fontId="5" fillId="0" borderId="0" xfId="0" applyFont="1" applyAlignment="1">
      <alignment horizontal="left" indent="1"/>
    </xf>
    <xf numFmtId="0" fontId="34" fillId="0" borderId="0" xfId="8" applyFont="1" applyAlignment="1">
      <alignment horizontal="left" indent="1"/>
    </xf>
    <xf numFmtId="38" fontId="5" fillId="0" borderId="0" xfId="0" applyNumberFormat="1" applyFont="1" applyFill="1"/>
    <xf numFmtId="0" fontId="15" fillId="12" borderId="0" xfId="0" applyFont="1" applyFill="1" applyAlignment="1">
      <alignment horizontal="center" vertical="center"/>
    </xf>
    <xf numFmtId="9" fontId="5" fillId="0" borderId="0" xfId="2" applyFont="1" applyBorder="1" applyAlignment="1">
      <alignment horizontal="center" vertical="center"/>
    </xf>
    <xf numFmtId="38" fontId="13" fillId="6" borderId="0" xfId="0" applyNumberFormat="1" applyFont="1" applyFill="1" applyBorder="1" applyAlignment="1">
      <alignment horizontal="center"/>
    </xf>
    <xf numFmtId="38" fontId="5" fillId="0" borderId="0" xfId="4" applyNumberFormat="1" applyFont="1" applyBorder="1" applyAlignment="1">
      <alignment horizontal="right"/>
    </xf>
    <xf numFmtId="38" fontId="5" fillId="0" borderId="0" xfId="3" applyNumberFormat="1" applyFont="1" applyBorder="1" applyAlignment="1">
      <alignment horizontal="center"/>
    </xf>
    <xf numFmtId="38" fontId="5" fillId="0" borderId="0" xfId="1" applyNumberFormat="1" applyFont="1"/>
    <xf numFmtId="38" fontId="19" fillId="0" borderId="0" xfId="0" applyNumberFormat="1" applyFont="1"/>
    <xf numFmtId="49" fontId="7" fillId="5" borderId="0" xfId="0" applyNumberFormat="1" applyFont="1" applyFill="1" applyBorder="1" applyAlignment="1">
      <alignment horizontal="center" wrapText="1"/>
    </xf>
    <xf numFmtId="9" fontId="6" fillId="0" borderId="0" xfId="2" applyFont="1"/>
    <xf numFmtId="0" fontId="7" fillId="14" borderId="11" xfId="0" applyFont="1" applyFill="1" applyBorder="1" applyAlignment="1">
      <alignment horizontal="left"/>
    </xf>
    <xf numFmtId="0" fontId="7" fillId="14" borderId="11" xfId="0" applyFont="1" applyFill="1" applyBorder="1" applyAlignment="1">
      <alignment horizontal="right"/>
    </xf>
    <xf numFmtId="0" fontId="6" fillId="17" borderId="0" xfId="0" applyFont="1" applyFill="1"/>
    <xf numFmtId="0" fontId="5" fillId="17" borderId="0" xfId="0" applyFont="1" applyFill="1"/>
    <xf numFmtId="49" fontId="35" fillId="16" borderId="0" xfId="0" applyNumberFormat="1" applyFont="1" applyFill="1" applyBorder="1" applyAlignment="1">
      <alignment horizontal="left"/>
    </xf>
    <xf numFmtId="49" fontId="24" fillId="0" borderId="0" xfId="0" applyNumberFormat="1" applyFont="1" applyFill="1" applyBorder="1" applyAlignment="1">
      <alignment horizontal="left"/>
    </xf>
    <xf numFmtId="49" fontId="35" fillId="7" borderId="0" xfId="0" applyNumberFormat="1" applyFont="1" applyFill="1" applyBorder="1" applyAlignment="1">
      <alignment horizontal="left"/>
    </xf>
    <xf numFmtId="49" fontId="36" fillId="0" borderId="0" xfId="0" applyNumberFormat="1" applyFont="1" applyFill="1" applyBorder="1" applyAlignment="1">
      <alignment horizontal="left" indent="2"/>
    </xf>
    <xf numFmtId="169" fontId="17" fillId="16" borderId="0" xfId="0" applyNumberFormat="1" applyFont="1" applyFill="1" applyBorder="1" applyAlignment="1">
      <alignment horizontal="right"/>
    </xf>
    <xf numFmtId="38" fontId="17" fillId="16" borderId="0" xfId="0" applyNumberFormat="1" applyFont="1" applyFill="1" applyBorder="1" applyAlignment="1">
      <alignment horizontal="right"/>
    </xf>
    <xf numFmtId="170" fontId="17" fillId="16" borderId="0" xfId="2" applyNumberFormat="1" applyFont="1" applyFill="1" applyBorder="1" applyAlignment="1">
      <alignment horizontal="right"/>
    </xf>
    <xf numFmtId="169" fontId="17" fillId="0" borderId="0" xfId="0" applyNumberFormat="1" applyFont="1" applyFill="1" applyBorder="1" applyAlignment="1">
      <alignment horizontal="right"/>
    </xf>
    <xf numFmtId="38" fontId="17" fillId="0" borderId="0" xfId="0" applyNumberFormat="1" applyFont="1" applyFill="1" applyBorder="1" applyAlignment="1">
      <alignment horizontal="right"/>
    </xf>
    <xf numFmtId="170" fontId="17" fillId="7" borderId="0" xfId="2" applyNumberFormat="1" applyFont="1" applyFill="1" applyBorder="1" applyAlignment="1">
      <alignment horizontal="right"/>
    </xf>
    <xf numFmtId="170" fontId="19" fillId="0" borderId="0" xfId="2" applyNumberFormat="1" applyFont="1" applyFill="1" applyBorder="1"/>
    <xf numFmtId="169" fontId="17" fillId="7" borderId="0" xfId="0" applyNumberFormat="1" applyFont="1" applyFill="1" applyBorder="1" applyAlignment="1">
      <alignment horizontal="right"/>
    </xf>
    <xf numFmtId="38" fontId="17" fillId="7" borderId="0" xfId="0" applyNumberFormat="1" applyFont="1" applyFill="1" applyBorder="1" applyAlignment="1">
      <alignment horizontal="right"/>
    </xf>
    <xf numFmtId="38" fontId="17" fillId="9" borderId="0" xfId="0" applyNumberFormat="1" applyFont="1" applyFill="1" applyBorder="1" applyAlignment="1">
      <alignment horizontal="right"/>
    </xf>
    <xf numFmtId="170" fontId="17" fillId="9" borderId="0" xfId="2" applyNumberFormat="1" applyFont="1" applyFill="1" applyBorder="1" applyAlignment="1">
      <alignment horizontal="right"/>
    </xf>
    <xf numFmtId="49" fontId="37" fillId="16" borderId="0" xfId="0" applyNumberFormat="1" applyFont="1" applyFill="1" applyBorder="1" applyAlignment="1">
      <alignment horizontal="left"/>
    </xf>
    <xf numFmtId="49" fontId="17" fillId="0" borderId="0" xfId="0" applyNumberFormat="1" applyFont="1" applyFill="1" applyBorder="1" applyAlignment="1">
      <alignment horizontal="left"/>
    </xf>
    <xf numFmtId="38" fontId="17" fillId="17" borderId="0" xfId="0" applyNumberFormat="1" applyFont="1" applyFill="1" applyBorder="1" applyAlignment="1">
      <alignment horizontal="right"/>
    </xf>
    <xf numFmtId="49" fontId="37" fillId="7" borderId="0" xfId="0" applyNumberFormat="1" applyFont="1" applyFill="1" applyBorder="1" applyAlignment="1">
      <alignment horizontal="left"/>
    </xf>
    <xf numFmtId="0" fontId="17" fillId="0" borderId="0" xfId="0" applyFont="1" applyFill="1" applyBorder="1"/>
    <xf numFmtId="0" fontId="17" fillId="8" borderId="0" xfId="0" applyFont="1" applyFill="1" applyBorder="1"/>
    <xf numFmtId="0" fontId="8" fillId="0" borderId="0" xfId="0" applyFont="1" applyFill="1" applyBorder="1"/>
    <xf numFmtId="0" fontId="7" fillId="5" borderId="0" xfId="0" applyFont="1" applyFill="1" applyBorder="1" applyAlignment="1">
      <alignment horizontal="center"/>
    </xf>
    <xf numFmtId="2" fontId="5" fillId="0" borderId="0" xfId="0" applyNumberFormat="1" applyFont="1" applyFill="1"/>
    <xf numFmtId="0" fontId="18" fillId="0" borderId="0" xfId="0" applyFont="1" applyFill="1"/>
    <xf numFmtId="38" fontId="5" fillId="0" borderId="0" xfId="1" applyNumberFormat="1" applyFont="1" applyFill="1" applyAlignment="1">
      <alignment horizontal="center" vertical="center"/>
    </xf>
    <xf numFmtId="38" fontId="9" fillId="0" borderId="12" xfId="0" applyNumberFormat="1" applyFont="1" applyFill="1" applyBorder="1" applyAlignment="1">
      <alignment horizontal="center" vertical="center"/>
    </xf>
    <xf numFmtId="38" fontId="5" fillId="0" borderId="9" xfId="0" applyNumberFormat="1" applyFont="1" applyFill="1" applyBorder="1" applyAlignment="1">
      <alignment vertical="center"/>
    </xf>
    <xf numFmtId="171" fontId="5" fillId="0" borderId="9" xfId="2" applyNumberFormat="1" applyFont="1" applyFill="1" applyBorder="1" applyAlignment="1">
      <alignment vertical="center"/>
    </xf>
    <xf numFmtId="38" fontId="5" fillId="0" borderId="8" xfId="0" applyNumberFormat="1" applyFont="1" applyFill="1" applyBorder="1" applyAlignment="1">
      <alignment vertical="center"/>
    </xf>
    <xf numFmtId="170" fontId="5" fillId="0" borderId="0" xfId="0" applyNumberFormat="1" applyFont="1" applyFill="1"/>
    <xf numFmtId="170" fontId="5" fillId="0" borderId="0" xfId="0" applyNumberFormat="1" applyFont="1" applyFill="1" applyAlignment="1">
      <alignment horizontal="center"/>
    </xf>
    <xf numFmtId="0" fontId="6" fillId="0" borderId="0" xfId="0" applyFont="1" applyFill="1" applyAlignment="1">
      <alignment horizontal="right"/>
    </xf>
    <xf numFmtId="0" fontId="26" fillId="0" borderId="0" xfId="0" applyFont="1" applyAlignment="1">
      <alignment horizontal="left" indent="1"/>
    </xf>
    <xf numFmtId="0" fontId="27" fillId="0" borderId="0" xfId="0" applyFont="1" applyAlignment="1">
      <alignment horizontal="left" indent="1"/>
    </xf>
    <xf numFmtId="49" fontId="7" fillId="13" borderId="0" xfId="0" applyNumberFormat="1" applyFont="1" applyFill="1" applyBorder="1" applyAlignment="1">
      <alignment horizontal="center" wrapText="1"/>
    </xf>
    <xf numFmtId="49" fontId="7" fillId="5" borderId="0" xfId="0" applyNumberFormat="1" applyFont="1" applyFill="1" applyBorder="1" applyAlignment="1">
      <alignment horizontal="center" wrapText="1"/>
    </xf>
    <xf numFmtId="0" fontId="13" fillId="6" borderId="0" xfId="0" applyFont="1" applyFill="1" applyBorder="1" applyAlignment="1">
      <alignment horizontal="center" vertical="center"/>
    </xf>
    <xf numFmtId="0" fontId="32" fillId="12" borderId="0" xfId="0" applyFont="1" applyFill="1" applyAlignment="1">
      <alignment horizontal="center"/>
    </xf>
  </cellXfs>
  <cellStyles count="11">
    <cellStyle name="Comma" xfId="1" builtinId="3"/>
    <cellStyle name="Comma 2" xfId="3" xr:uid="{1A70046C-AB87-4D44-A261-1FF3B6996944}"/>
    <cellStyle name="Comma 3" xfId="7" xr:uid="{8959B3B2-B5CF-40B7-84EF-28F88E083B11}"/>
    <cellStyle name="Hyperlink" xfId="8" builtinId="8"/>
    <cellStyle name="Normal" xfId="0" builtinId="0"/>
    <cellStyle name="Normal 2" xfId="6" xr:uid="{0A9740B7-A6D6-4EB3-B423-74DACB1DFF43}"/>
    <cellStyle name="Normal 2 2" xfId="9" xr:uid="{BA65F987-AB52-4DA7-B8F9-2AE3626222EE}"/>
    <cellStyle name="Normal 3" xfId="10" xr:uid="{F59DDD8A-6658-425E-B1B5-54D1F9DB1230}"/>
    <cellStyle name="Percent" xfId="2" builtinId="5"/>
    <cellStyle name="Percent 2" xfId="4" xr:uid="{72395AA4-C6FE-4865-BEEC-51EAD7C4A456}"/>
    <cellStyle name="Percent 2 2" xfId="5" xr:uid="{50EAF2F7-38FB-4044-971F-6DC4985956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4</xdr:col>
      <xdr:colOff>180975</xdr:colOff>
      <xdr:row>3</xdr:row>
      <xdr:rowOff>19051</xdr:rowOff>
    </xdr:from>
    <xdr:to>
      <xdr:col>12</xdr:col>
      <xdr:colOff>104775</xdr:colOff>
      <xdr:row>7</xdr:row>
      <xdr:rowOff>140913</xdr:rowOff>
    </xdr:to>
    <xdr:pic>
      <xdr:nvPicPr>
        <xdr:cNvPr id="3" name="Picture 2">
          <a:extLst>
            <a:ext uri="{FF2B5EF4-FFF2-40B4-BE49-F238E27FC236}">
              <a16:creationId xmlns:a16="http://schemas.microsoft.com/office/drawing/2014/main" id="{2393AFFE-ADDD-2084-3550-CD74FEADF85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714750" y="504826"/>
          <a:ext cx="4800600" cy="7695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123825</xdr:colOff>
      <xdr:row>0</xdr:row>
      <xdr:rowOff>95250</xdr:rowOff>
    </xdr:from>
    <xdr:to>
      <xdr:col>2</xdr:col>
      <xdr:colOff>460748</xdr:colOff>
      <xdr:row>2</xdr:row>
      <xdr:rowOff>85725</xdr:rowOff>
    </xdr:to>
    <xdr:pic>
      <xdr:nvPicPr>
        <xdr:cNvPr id="3" name="Picture 2">
          <a:extLst>
            <a:ext uri="{FF2B5EF4-FFF2-40B4-BE49-F238E27FC236}">
              <a16:creationId xmlns:a16="http://schemas.microsoft.com/office/drawing/2014/main" id="{4B4B036F-0660-4579-905F-1C6AAC1845E3}"/>
            </a:ext>
          </a:extLst>
        </xdr:cNvPr>
        <xdr:cNvPicPr>
          <a:picLocks noChangeAspect="1"/>
        </xdr:cNvPicPr>
      </xdr:nvPicPr>
      <xdr:blipFill rotWithShape="1">
        <a:blip xmlns:r="http://schemas.openxmlformats.org/officeDocument/2006/relationships" r:embed="rId1"/>
        <a:srcRect l="55006" t="22984" r="3479" b="51531"/>
        <a:stretch/>
      </xdr:blipFill>
      <xdr:spPr>
        <a:xfrm>
          <a:off x="733425" y="95250"/>
          <a:ext cx="946523" cy="3143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57151</xdr:colOff>
      <xdr:row>0</xdr:row>
      <xdr:rowOff>76201</xdr:rowOff>
    </xdr:from>
    <xdr:to>
      <xdr:col>1</xdr:col>
      <xdr:colOff>1238250</xdr:colOff>
      <xdr:row>2</xdr:row>
      <xdr:rowOff>131024</xdr:rowOff>
    </xdr:to>
    <xdr:pic>
      <xdr:nvPicPr>
        <xdr:cNvPr id="2" name="Picture 1">
          <a:extLst>
            <a:ext uri="{FF2B5EF4-FFF2-40B4-BE49-F238E27FC236}">
              <a16:creationId xmlns:a16="http://schemas.microsoft.com/office/drawing/2014/main" id="{DA56ED20-782C-4079-146D-6C1DDA61912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76226" y="76201"/>
          <a:ext cx="1181099" cy="37867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590550</xdr:colOff>
      <xdr:row>0</xdr:row>
      <xdr:rowOff>104775</xdr:rowOff>
    </xdr:from>
    <xdr:to>
      <xdr:col>1</xdr:col>
      <xdr:colOff>1200150</xdr:colOff>
      <xdr:row>2</xdr:row>
      <xdr:rowOff>114664</xdr:rowOff>
    </xdr:to>
    <xdr:pic>
      <xdr:nvPicPr>
        <xdr:cNvPr id="3" name="Picture 2">
          <a:extLst>
            <a:ext uri="{FF2B5EF4-FFF2-40B4-BE49-F238E27FC236}">
              <a16:creationId xmlns:a16="http://schemas.microsoft.com/office/drawing/2014/main" id="{3EC8E3AB-6460-B906-E3EA-87A0D16A950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590550" y="104775"/>
          <a:ext cx="1219200" cy="39088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47626</xdr:colOff>
      <xdr:row>0</xdr:row>
      <xdr:rowOff>66675</xdr:rowOff>
    </xdr:from>
    <xdr:to>
      <xdr:col>1</xdr:col>
      <xdr:colOff>1266826</xdr:colOff>
      <xdr:row>2</xdr:row>
      <xdr:rowOff>133713</xdr:rowOff>
    </xdr:to>
    <xdr:pic>
      <xdr:nvPicPr>
        <xdr:cNvPr id="2" name="Picture 1">
          <a:extLst>
            <a:ext uri="{FF2B5EF4-FFF2-40B4-BE49-F238E27FC236}">
              <a16:creationId xmlns:a16="http://schemas.microsoft.com/office/drawing/2014/main" id="{4A2130BF-0242-0BE0-C33F-7E9869AFE9E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657226" y="66675"/>
          <a:ext cx="1219200" cy="39088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533400</xdr:colOff>
      <xdr:row>0</xdr:row>
      <xdr:rowOff>152400</xdr:rowOff>
    </xdr:from>
    <xdr:to>
      <xdr:col>19</xdr:col>
      <xdr:colOff>514350</xdr:colOff>
      <xdr:row>2</xdr:row>
      <xdr:rowOff>19050</xdr:rowOff>
    </xdr:to>
    <xdr:sp macro="" textlink="">
      <xdr:nvSpPr>
        <xdr:cNvPr id="2" name="TextBox 1">
          <a:extLst>
            <a:ext uri="{FF2B5EF4-FFF2-40B4-BE49-F238E27FC236}">
              <a16:creationId xmlns:a16="http://schemas.microsoft.com/office/drawing/2014/main" id="{9AD799E5-BB32-440B-A828-2FD610C8EEBC}"/>
            </a:ext>
          </a:extLst>
        </xdr:cNvPr>
        <xdr:cNvSpPr txBox="1"/>
      </xdr:nvSpPr>
      <xdr:spPr>
        <a:xfrm>
          <a:off x="533400" y="152400"/>
          <a:ext cx="11677650" cy="1219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a:t>
          </a:r>
          <a:r>
            <a:rPr lang="en-US" sz="1100" baseline="0"/>
            <a:t> section has been prepared to provide background on the 2020  GP reclassification. </a:t>
          </a:r>
        </a:p>
        <a:p>
          <a:endParaRPr lang="en-US" sz="1100" baseline="0"/>
        </a:p>
        <a:p>
          <a:r>
            <a:rPr lang="en-US" sz="1100"/>
            <a:t>At full year 2020 Aramex implemented a GP reclassification to facilitate the EBIT per product analysis. Therefore, following the GP reclassification, operating expenses was included in our cost of services (for both variable and fixed costs) and impacting the GP calculation. Previously, operating expenses was a line below GP.</a:t>
          </a:r>
        </a:p>
        <a:p>
          <a:endParaRPr lang="en-US" sz="1100"/>
        </a:p>
        <a:p>
          <a:r>
            <a:rPr lang="en-US" sz="1100"/>
            <a:t>Financial statements at FY 2020 included a comparative reclassification for 2019 . A</a:t>
          </a:r>
          <a:r>
            <a:rPr lang="en-US" sz="1100" baseline="0"/>
            <a:t> d</a:t>
          </a:r>
          <a:r>
            <a:rPr lang="en-US" sz="1100"/>
            <a:t>etailed explanation of the reclassifications can be found in Note 41 in the Full Year 2020 financial statements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ramex-my.sharepoint.com/sites/Finance/docs/income_statements/2021/Adaptive%20Consolidation/05-May21%20Package%20AF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21 vs Bud'21-Month"/>
      <sheetName val="Act'21 vs Bud'21-QTD"/>
      <sheetName val="Act'21 vs Bud'21-YTD"/>
      <sheetName val="Act'21 vs Bud'21-Apr+May"/>
      <sheetName val="Act'21 vs Act'20-Month"/>
      <sheetName val="Act'21 vs Act'20-QTD"/>
      <sheetName val="Act'21 vs Act'20-YTD"/>
      <sheetName val="Act'21 vs Act'20-Apr+May"/>
      <sheetName val="Act'20 Month by Month"/>
      <sheetName val="Bonus Summary"/>
      <sheetName val="Act Vs last year and Bud"/>
      <sheetName val="Condensed P&amp;L"/>
      <sheetName val="Act'21 vs Bud'21-Month EBIT"/>
      <sheetName val="Act'21 vs Bud'21-QTD EBIT"/>
      <sheetName val="Act'21 vs Bud'21-YTD EBIT"/>
      <sheetName val="Act'21 vs Bud'21-Apr+May EBIT"/>
      <sheetName val="Act'21 vs Act'20-Month EBIT"/>
      <sheetName val="Act'21 vs Act'20-QTD EBIT"/>
      <sheetName val="Act'21 vs Act'20-YTD EBIT"/>
      <sheetName val="Act'21 vs Act'20-Apr+May EBIT"/>
      <sheetName val="vs Budget Template"/>
      <sheetName val="vs last year template"/>
      <sheetName val="Apr+May template"/>
      <sheetName val="2021 vs 2020 vs 19 "/>
      <sheetName val="EBITDA"/>
      <sheetName val="Bonus "/>
      <sheetName val="Commission"/>
      <sheetName val="Lease payments"/>
      <sheetName val="Ratio"/>
      <sheetName val="Report Data"/>
      <sheetName val="Report Info"/>
    </sheetNames>
    <sheetDataSet>
      <sheetData sheetId="0"/>
      <sheetData sheetId="1"/>
      <sheetData sheetId="2"/>
      <sheetData sheetId="3"/>
      <sheetData sheetId="4">
        <row r="11">
          <cell r="D11">
            <v>108.74514159433467</v>
          </cell>
        </row>
      </sheetData>
      <sheetData sheetId="5">
        <row r="11">
          <cell r="D11">
            <v>274959.11761870037</v>
          </cell>
        </row>
      </sheetData>
      <sheetData sheetId="6">
        <row r="11">
          <cell r="D11">
            <v>250907.69581892149</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BB325B-E0D0-464D-8BAD-9986BD29D38E}">
  <dimension ref="A1:BI50"/>
  <sheetViews>
    <sheetView showGridLines="0" tabSelected="1" zoomScaleNormal="100" workbookViewId="0">
      <selection activeCell="V28" sqref="V28"/>
    </sheetView>
  </sheetViews>
  <sheetFormatPr defaultRowHeight="12.75" x14ac:dyDescent="0.2"/>
  <cols>
    <col min="1" max="2" width="9.140625" style="136"/>
    <col min="3" max="3" width="25.5703125" style="136" bestFit="1" customWidth="1"/>
    <col min="4" max="16384" width="9.140625" style="136"/>
  </cols>
  <sheetData>
    <row r="1" spans="1:61" x14ac:dyDescent="0.2">
      <c r="A1" s="189">
        <v>1</v>
      </c>
      <c r="B1" s="190"/>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c r="AM1" s="190"/>
      <c r="AN1" s="190"/>
      <c r="AO1" s="190"/>
      <c r="AP1" s="190"/>
      <c r="AQ1" s="190"/>
      <c r="AR1" s="190"/>
      <c r="AS1" s="190"/>
      <c r="AT1" s="190"/>
      <c r="AU1" s="190"/>
      <c r="AV1" s="190"/>
      <c r="AW1" s="190"/>
      <c r="AX1" s="190"/>
      <c r="AY1" s="190"/>
      <c r="AZ1" s="190"/>
      <c r="BA1" s="190"/>
      <c r="BB1" s="190"/>
      <c r="BC1" s="190"/>
      <c r="BD1" s="190"/>
      <c r="BE1" s="190"/>
      <c r="BF1" s="190"/>
      <c r="BG1" s="190"/>
      <c r="BH1" s="190"/>
      <c r="BI1" s="190"/>
    </row>
    <row r="2" spans="1:61" x14ac:dyDescent="0.2">
      <c r="A2" s="189">
        <f>1/3.6726</f>
        <v>0.27228666339922669</v>
      </c>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c r="AG2" s="190"/>
      <c r="AH2" s="190"/>
      <c r="AI2" s="190"/>
      <c r="AJ2" s="190"/>
      <c r="AK2" s="190"/>
      <c r="AL2" s="190"/>
      <c r="AM2" s="190"/>
      <c r="AN2" s="190"/>
      <c r="AO2" s="190"/>
      <c r="AP2" s="190"/>
      <c r="AQ2" s="190"/>
      <c r="AR2" s="190"/>
      <c r="AS2" s="190"/>
      <c r="AT2" s="190"/>
      <c r="AU2" s="190"/>
      <c r="AV2" s="190"/>
      <c r="AW2" s="190"/>
      <c r="AX2" s="190"/>
      <c r="AY2" s="190"/>
      <c r="AZ2" s="190"/>
      <c r="BA2" s="190"/>
      <c r="BB2" s="190"/>
      <c r="BC2" s="190"/>
      <c r="BD2" s="190"/>
      <c r="BE2" s="190"/>
      <c r="BF2" s="190"/>
      <c r="BG2" s="190"/>
      <c r="BH2" s="190"/>
      <c r="BI2" s="190"/>
    </row>
    <row r="3" spans="1:61" x14ac:dyDescent="0.2">
      <c r="A3" s="21"/>
      <c r="B3" s="190"/>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c r="AG3" s="190"/>
      <c r="AH3" s="190"/>
      <c r="AI3" s="190"/>
      <c r="AJ3" s="190"/>
      <c r="AK3" s="190"/>
      <c r="AL3" s="190"/>
      <c r="AM3" s="190"/>
      <c r="AN3" s="190"/>
      <c r="AO3" s="190"/>
      <c r="AP3" s="190"/>
      <c r="AQ3" s="190"/>
      <c r="AR3" s="190"/>
      <c r="AS3" s="190"/>
      <c r="AT3" s="190"/>
      <c r="AU3" s="190"/>
      <c r="AV3" s="190"/>
      <c r="AW3" s="190"/>
      <c r="AX3" s="190"/>
      <c r="AY3" s="190"/>
      <c r="AZ3" s="190"/>
      <c r="BA3" s="190"/>
      <c r="BB3" s="190"/>
      <c r="BC3" s="190"/>
      <c r="BD3" s="190"/>
      <c r="BE3" s="190"/>
      <c r="BF3" s="190"/>
      <c r="BG3" s="190"/>
      <c r="BH3" s="190"/>
      <c r="BI3" s="190"/>
    </row>
    <row r="4" spans="1:61" x14ac:dyDescent="0.2">
      <c r="A4" s="189" t="str">
        <f>B5</f>
        <v>AED</v>
      </c>
      <c r="B4" s="191" t="s">
        <v>273</v>
      </c>
      <c r="C4" s="190"/>
      <c r="D4" s="190"/>
      <c r="E4" s="190"/>
      <c r="F4" s="190"/>
      <c r="G4" s="190"/>
      <c r="H4" s="190"/>
      <c r="I4" s="190"/>
      <c r="J4" s="190"/>
      <c r="K4" s="190"/>
      <c r="L4" s="190"/>
      <c r="M4" s="190"/>
      <c r="N4" s="190"/>
      <c r="O4" s="190"/>
      <c r="P4" s="190"/>
      <c r="Q4" s="190"/>
      <c r="R4" s="190"/>
      <c r="S4" s="190"/>
      <c r="T4" s="190"/>
      <c r="U4" s="190"/>
      <c r="V4" s="190"/>
      <c r="W4" s="190"/>
      <c r="X4" s="190"/>
      <c r="Y4" s="190"/>
      <c r="Z4" s="190"/>
      <c r="AA4" s="190"/>
      <c r="AB4" s="190"/>
      <c r="AC4" s="190"/>
      <c r="AD4" s="190"/>
      <c r="AE4" s="190"/>
      <c r="AF4" s="190"/>
      <c r="AG4" s="190"/>
      <c r="AH4" s="190"/>
      <c r="AI4" s="190"/>
      <c r="AJ4" s="190"/>
      <c r="AK4" s="190"/>
      <c r="AL4" s="190"/>
      <c r="AM4" s="190"/>
      <c r="AN4" s="190"/>
      <c r="AO4" s="190"/>
      <c r="AP4" s="190"/>
      <c r="AQ4" s="190"/>
      <c r="AR4" s="190"/>
      <c r="AS4" s="190"/>
      <c r="AT4" s="190"/>
      <c r="AU4" s="190"/>
      <c r="AV4" s="190"/>
      <c r="AW4" s="190"/>
      <c r="AX4" s="190"/>
      <c r="AY4" s="190"/>
      <c r="AZ4" s="190"/>
      <c r="BA4" s="190"/>
      <c r="BB4" s="190"/>
      <c r="BC4" s="190"/>
      <c r="BD4" s="190"/>
      <c r="BE4" s="190"/>
      <c r="BF4" s="190"/>
      <c r="BG4" s="190"/>
      <c r="BH4" s="190"/>
      <c r="BI4" s="190"/>
    </row>
    <row r="5" spans="1:61" x14ac:dyDescent="0.2">
      <c r="A5" s="189">
        <f>IF(B5="AED",A1,A2)</f>
        <v>1</v>
      </c>
      <c r="B5" s="190" t="s">
        <v>286</v>
      </c>
      <c r="C5" s="190"/>
      <c r="D5" s="190"/>
      <c r="E5" s="190"/>
      <c r="F5" s="190"/>
      <c r="G5" s="190"/>
      <c r="H5" s="190"/>
      <c r="I5" s="190"/>
      <c r="J5" s="190"/>
      <c r="K5" s="190"/>
      <c r="L5" s="190"/>
      <c r="M5" s="190"/>
      <c r="N5" s="190"/>
      <c r="O5" s="190"/>
      <c r="P5" s="190"/>
      <c r="Q5" s="190"/>
      <c r="R5" s="190"/>
      <c r="S5" s="190"/>
      <c r="T5" s="190"/>
      <c r="U5" s="190"/>
      <c r="V5" s="190"/>
      <c r="W5" s="190"/>
      <c r="X5" s="190"/>
      <c r="Y5" s="190"/>
      <c r="Z5" s="190"/>
      <c r="AA5" s="190"/>
      <c r="AB5" s="190"/>
      <c r="AC5" s="190"/>
      <c r="AD5" s="190"/>
      <c r="AE5" s="190"/>
      <c r="AF5" s="190"/>
      <c r="AG5" s="190"/>
      <c r="AH5" s="190"/>
      <c r="AI5" s="190"/>
      <c r="AJ5" s="190"/>
      <c r="AK5" s="190"/>
      <c r="AL5" s="190"/>
      <c r="AM5" s="190"/>
      <c r="AN5" s="190"/>
      <c r="AO5" s="190"/>
      <c r="AP5" s="190"/>
      <c r="AQ5" s="190"/>
      <c r="AR5" s="190"/>
      <c r="AS5" s="190"/>
      <c r="AT5" s="190"/>
      <c r="AU5" s="190"/>
      <c r="AV5" s="190"/>
      <c r="AW5" s="190"/>
      <c r="AX5" s="190"/>
      <c r="AY5" s="190"/>
      <c r="AZ5" s="190"/>
      <c r="BA5" s="190"/>
      <c r="BB5" s="190"/>
      <c r="BC5" s="190"/>
      <c r="BD5" s="190"/>
      <c r="BE5" s="190"/>
      <c r="BF5" s="190"/>
      <c r="BG5" s="190"/>
      <c r="BH5" s="190"/>
      <c r="BI5" s="190"/>
    </row>
    <row r="6" spans="1:61" x14ac:dyDescent="0.2">
      <c r="A6" s="190"/>
      <c r="B6" s="190"/>
      <c r="C6" s="190"/>
      <c r="D6" s="190"/>
      <c r="E6" s="190"/>
      <c r="F6" s="190"/>
      <c r="G6" s="190"/>
      <c r="H6" s="190"/>
      <c r="I6" s="190"/>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190"/>
      <c r="AI6" s="190"/>
      <c r="AJ6" s="190"/>
      <c r="AK6" s="190"/>
      <c r="AL6" s="190"/>
      <c r="AM6" s="190"/>
      <c r="AN6" s="190"/>
      <c r="AO6" s="190"/>
      <c r="AP6" s="190"/>
      <c r="AQ6" s="190"/>
      <c r="AR6" s="190"/>
      <c r="AS6" s="190"/>
      <c r="AT6" s="190"/>
      <c r="AU6" s="190"/>
      <c r="AV6" s="190"/>
      <c r="AW6" s="190"/>
      <c r="AX6" s="190"/>
      <c r="AY6" s="190"/>
      <c r="AZ6" s="190"/>
      <c r="BA6" s="190"/>
      <c r="BB6" s="190"/>
      <c r="BC6" s="190"/>
      <c r="BD6" s="190"/>
      <c r="BE6" s="190"/>
      <c r="BF6" s="190"/>
      <c r="BG6" s="190"/>
      <c r="BH6" s="190"/>
      <c r="BI6" s="190"/>
    </row>
    <row r="7" spans="1:61" x14ac:dyDescent="0.2">
      <c r="A7" s="190"/>
      <c r="B7" s="190"/>
      <c r="C7" s="190"/>
      <c r="D7" s="190"/>
      <c r="E7" s="190"/>
      <c r="F7" s="190"/>
      <c r="G7" s="190"/>
      <c r="H7" s="190"/>
      <c r="I7" s="190"/>
      <c r="J7" s="190"/>
      <c r="K7" s="190"/>
      <c r="L7" s="190"/>
      <c r="M7" s="190"/>
      <c r="N7" s="190"/>
      <c r="O7" s="190"/>
      <c r="P7" s="190"/>
      <c r="Q7" s="190"/>
      <c r="R7" s="190"/>
      <c r="S7" s="190"/>
      <c r="T7" s="190"/>
      <c r="U7" s="190"/>
      <c r="V7" s="190"/>
      <c r="W7" s="190"/>
      <c r="X7" s="190"/>
      <c r="Y7" s="190"/>
      <c r="Z7" s="190"/>
      <c r="AA7" s="190"/>
      <c r="AB7" s="190"/>
      <c r="AC7" s="190"/>
      <c r="AD7" s="190"/>
      <c r="AE7" s="190"/>
      <c r="AF7" s="190"/>
      <c r="AG7" s="190"/>
      <c r="AH7" s="190"/>
      <c r="AI7" s="190"/>
      <c r="AJ7" s="190"/>
      <c r="AK7" s="190"/>
      <c r="AL7" s="190"/>
      <c r="AM7" s="190"/>
      <c r="AN7" s="190"/>
      <c r="AO7" s="190"/>
      <c r="AP7" s="190"/>
      <c r="AQ7" s="190"/>
      <c r="AR7" s="190"/>
      <c r="AS7" s="190"/>
      <c r="AT7" s="190"/>
      <c r="AU7" s="190"/>
      <c r="AV7" s="190"/>
      <c r="AW7" s="190"/>
      <c r="AX7" s="190"/>
      <c r="AY7" s="190"/>
      <c r="AZ7" s="190"/>
      <c r="BA7" s="190"/>
      <c r="BB7" s="190"/>
      <c r="BC7" s="190"/>
      <c r="BD7" s="190"/>
      <c r="BE7" s="190"/>
      <c r="BF7" s="190"/>
      <c r="BG7" s="190"/>
      <c r="BH7" s="190"/>
      <c r="BI7" s="190"/>
    </row>
    <row r="8" spans="1:61" x14ac:dyDescent="0.2">
      <c r="A8" s="190"/>
      <c r="B8" s="190"/>
      <c r="C8" s="190"/>
      <c r="D8" s="190"/>
      <c r="E8" s="190"/>
      <c r="F8" s="190"/>
      <c r="G8" s="190"/>
      <c r="H8" s="190"/>
      <c r="I8" s="190"/>
      <c r="J8" s="190"/>
      <c r="K8" s="190"/>
      <c r="L8" s="190"/>
      <c r="M8" s="190"/>
      <c r="N8" s="190"/>
      <c r="O8" s="190"/>
      <c r="P8" s="190"/>
      <c r="Q8" s="190"/>
      <c r="R8" s="190"/>
      <c r="S8" s="190"/>
      <c r="T8" s="190"/>
      <c r="U8" s="190"/>
      <c r="V8" s="190"/>
      <c r="W8" s="190"/>
      <c r="X8" s="190"/>
      <c r="Y8" s="190"/>
      <c r="Z8" s="190"/>
      <c r="AA8" s="190"/>
      <c r="AB8" s="190"/>
      <c r="AC8" s="190"/>
      <c r="AD8" s="190"/>
      <c r="AE8" s="190"/>
      <c r="AF8" s="190"/>
      <c r="AG8" s="190"/>
      <c r="AH8" s="190"/>
      <c r="AI8" s="190"/>
      <c r="AJ8" s="190"/>
      <c r="AK8" s="190"/>
      <c r="AL8" s="190"/>
      <c r="AM8" s="190"/>
      <c r="AN8" s="190"/>
      <c r="AO8" s="190"/>
      <c r="AP8" s="190"/>
      <c r="AQ8" s="190"/>
      <c r="AR8" s="190"/>
      <c r="AS8" s="190"/>
      <c r="AT8" s="190"/>
      <c r="AU8" s="190"/>
      <c r="AV8" s="190"/>
      <c r="AW8" s="190"/>
      <c r="AX8" s="190"/>
      <c r="AY8" s="190"/>
      <c r="AZ8" s="190"/>
      <c r="BA8" s="190"/>
      <c r="BB8" s="190"/>
      <c r="BC8" s="190"/>
      <c r="BD8" s="190"/>
      <c r="BE8" s="190"/>
      <c r="BF8" s="190"/>
      <c r="BG8" s="190"/>
      <c r="BH8" s="190"/>
      <c r="BI8" s="190"/>
    </row>
    <row r="9" spans="1:61" x14ac:dyDescent="0.2">
      <c r="A9" s="190"/>
      <c r="B9" s="190"/>
      <c r="C9" s="190"/>
      <c r="D9" s="190"/>
      <c r="E9" s="190"/>
      <c r="F9" s="190"/>
      <c r="G9" s="190"/>
      <c r="H9" s="190"/>
      <c r="I9" s="190"/>
      <c r="J9" s="190"/>
      <c r="K9" s="190"/>
      <c r="L9" s="190"/>
      <c r="M9" s="190"/>
      <c r="N9" s="190"/>
      <c r="O9" s="190"/>
      <c r="P9" s="190"/>
      <c r="Q9" s="190"/>
      <c r="R9" s="190"/>
      <c r="S9" s="190"/>
      <c r="T9" s="190"/>
      <c r="U9" s="190"/>
      <c r="V9" s="190"/>
      <c r="W9" s="190"/>
      <c r="X9" s="190"/>
      <c r="Y9" s="190"/>
      <c r="Z9" s="190"/>
      <c r="AA9" s="190"/>
      <c r="AB9" s="190"/>
      <c r="AC9" s="190"/>
      <c r="AD9" s="190"/>
      <c r="AE9" s="190"/>
      <c r="AF9" s="190"/>
      <c r="AG9" s="190"/>
      <c r="AH9" s="190"/>
      <c r="AI9" s="190"/>
      <c r="AJ9" s="190"/>
      <c r="AK9" s="190"/>
      <c r="AL9" s="190"/>
      <c r="AM9" s="190"/>
      <c r="AN9" s="190"/>
      <c r="AO9" s="190"/>
      <c r="AP9" s="190"/>
      <c r="AQ9" s="190"/>
      <c r="AR9" s="190"/>
      <c r="AS9" s="190"/>
      <c r="AT9" s="190"/>
      <c r="AU9" s="190"/>
      <c r="AV9" s="190"/>
      <c r="AW9" s="190"/>
      <c r="AX9" s="190"/>
      <c r="AY9" s="190"/>
      <c r="AZ9" s="190"/>
      <c r="BA9" s="190"/>
      <c r="BB9" s="190"/>
      <c r="BC9" s="190"/>
      <c r="BD9" s="190"/>
      <c r="BE9" s="190"/>
      <c r="BF9" s="190"/>
      <c r="BG9" s="190"/>
      <c r="BH9" s="190"/>
      <c r="BI9" s="190"/>
    </row>
    <row r="10" spans="1:61" ht="51" x14ac:dyDescent="0.75">
      <c r="A10" s="190"/>
      <c r="B10" s="190"/>
      <c r="C10" s="190"/>
      <c r="D10" s="190"/>
      <c r="E10" s="190"/>
      <c r="F10" s="13" t="s">
        <v>33</v>
      </c>
      <c r="G10" s="190"/>
      <c r="H10" s="190"/>
      <c r="I10" s="190"/>
      <c r="J10" s="190"/>
      <c r="K10" s="190"/>
      <c r="L10" s="190"/>
      <c r="M10" s="190"/>
      <c r="N10" s="190"/>
      <c r="O10" s="190"/>
      <c r="P10" s="190"/>
      <c r="Q10" s="190"/>
      <c r="R10" s="190"/>
      <c r="S10" s="190"/>
      <c r="T10" s="190"/>
      <c r="U10" s="190"/>
      <c r="V10" s="190"/>
      <c r="W10" s="190"/>
      <c r="X10" s="190"/>
      <c r="Y10" s="190"/>
      <c r="Z10" s="190"/>
      <c r="AA10" s="190"/>
      <c r="AB10" s="190"/>
      <c r="AC10" s="190"/>
      <c r="AD10" s="190"/>
      <c r="AE10" s="190"/>
      <c r="AF10" s="190"/>
      <c r="AG10" s="190"/>
      <c r="AH10" s="190"/>
      <c r="AI10" s="190"/>
      <c r="AJ10" s="190"/>
      <c r="AK10" s="190"/>
      <c r="AL10" s="190"/>
      <c r="AM10" s="190"/>
      <c r="AN10" s="190"/>
      <c r="AO10" s="190"/>
      <c r="AP10" s="190"/>
      <c r="AQ10" s="190"/>
      <c r="AR10" s="190"/>
      <c r="AS10" s="190"/>
      <c r="AT10" s="190"/>
      <c r="AU10" s="190"/>
      <c r="AV10" s="190"/>
      <c r="AW10" s="190"/>
      <c r="AX10" s="190"/>
      <c r="AY10" s="190"/>
      <c r="AZ10" s="190"/>
      <c r="BA10" s="190"/>
      <c r="BB10" s="190"/>
      <c r="BC10" s="190"/>
      <c r="BD10" s="190"/>
      <c r="BE10" s="190"/>
      <c r="BF10" s="190"/>
      <c r="BG10" s="190"/>
      <c r="BH10" s="190"/>
      <c r="BI10" s="190"/>
    </row>
    <row r="11" spans="1:61" x14ac:dyDescent="0.2">
      <c r="A11" s="190"/>
      <c r="B11" s="190"/>
      <c r="C11" s="190"/>
      <c r="D11" s="190"/>
      <c r="E11" s="190"/>
      <c r="F11" s="190"/>
      <c r="G11" s="190"/>
      <c r="H11" s="190"/>
      <c r="I11" s="190"/>
      <c r="J11" s="190"/>
      <c r="K11" s="190"/>
      <c r="L11" s="190"/>
      <c r="M11" s="190"/>
      <c r="N11" s="190"/>
      <c r="O11" s="190"/>
      <c r="P11" s="190"/>
      <c r="Q11" s="190"/>
      <c r="R11" s="190"/>
      <c r="S11" s="190"/>
      <c r="T11" s="190"/>
      <c r="U11" s="190"/>
      <c r="V11" s="190"/>
      <c r="W11" s="190"/>
      <c r="X11" s="190"/>
      <c r="Y11" s="190"/>
      <c r="Z11" s="190"/>
      <c r="AA11" s="190"/>
      <c r="AB11" s="190"/>
      <c r="AC11" s="190"/>
      <c r="AD11" s="190"/>
      <c r="AE11" s="190"/>
      <c r="AF11" s="190"/>
      <c r="AG11" s="190"/>
      <c r="AH11" s="190"/>
      <c r="AI11" s="190"/>
      <c r="AJ11" s="190"/>
      <c r="AK11" s="190"/>
      <c r="AL11" s="190"/>
      <c r="AM11" s="190"/>
      <c r="AN11" s="190"/>
      <c r="AO11" s="190"/>
      <c r="AP11" s="190"/>
      <c r="AQ11" s="190"/>
      <c r="AR11" s="190"/>
      <c r="AS11" s="190"/>
      <c r="AT11" s="190"/>
      <c r="AU11" s="190"/>
      <c r="AV11" s="190"/>
      <c r="AW11" s="190"/>
      <c r="AX11" s="190"/>
      <c r="AY11" s="190"/>
      <c r="AZ11" s="190"/>
      <c r="BA11" s="190"/>
      <c r="BB11" s="190"/>
      <c r="BC11" s="190"/>
      <c r="BD11" s="190"/>
      <c r="BE11" s="190"/>
      <c r="BF11" s="190"/>
      <c r="BG11" s="190"/>
      <c r="BH11" s="190"/>
      <c r="BI11" s="190"/>
    </row>
    <row r="12" spans="1:61" x14ac:dyDescent="0.2">
      <c r="A12" s="190"/>
      <c r="B12" s="190"/>
      <c r="C12" s="190"/>
      <c r="D12" s="190"/>
      <c r="E12" s="190"/>
      <c r="F12" s="190"/>
      <c r="G12" s="190"/>
      <c r="H12" s="190"/>
      <c r="I12" s="190"/>
      <c r="J12" s="190"/>
      <c r="K12" s="190"/>
      <c r="L12" s="190"/>
      <c r="M12" s="190"/>
      <c r="N12" s="190"/>
      <c r="O12" s="190"/>
      <c r="P12" s="190"/>
      <c r="Q12" s="190"/>
      <c r="R12" s="190"/>
      <c r="S12" s="190"/>
      <c r="T12" s="190"/>
      <c r="U12" s="190"/>
      <c r="V12" s="190"/>
      <c r="W12" s="190"/>
      <c r="X12" s="190"/>
      <c r="Y12" s="190"/>
      <c r="Z12" s="190"/>
      <c r="AA12" s="190"/>
      <c r="AB12" s="190"/>
      <c r="AC12" s="190"/>
      <c r="AD12" s="190"/>
      <c r="AE12" s="190"/>
      <c r="AF12" s="190"/>
      <c r="AG12" s="190"/>
      <c r="AH12" s="190"/>
      <c r="AI12" s="190"/>
      <c r="AJ12" s="190"/>
      <c r="AK12" s="190"/>
      <c r="AL12" s="190"/>
      <c r="AM12" s="190"/>
      <c r="AN12" s="190"/>
      <c r="AO12" s="190"/>
      <c r="AP12" s="190"/>
      <c r="AQ12" s="190"/>
      <c r="AR12" s="190"/>
      <c r="AS12" s="190"/>
      <c r="AT12" s="190"/>
      <c r="AU12" s="190"/>
      <c r="AV12" s="190"/>
      <c r="AW12" s="190"/>
      <c r="AX12" s="190"/>
      <c r="AY12" s="190"/>
      <c r="AZ12" s="190"/>
      <c r="BA12" s="190"/>
      <c r="BB12" s="190"/>
      <c r="BC12" s="190"/>
      <c r="BD12" s="190"/>
      <c r="BE12" s="190"/>
      <c r="BF12" s="190"/>
      <c r="BG12" s="190"/>
      <c r="BH12" s="190"/>
      <c r="BI12" s="190"/>
    </row>
    <row r="13" spans="1:61" x14ac:dyDescent="0.2">
      <c r="A13" s="190"/>
      <c r="B13" s="190"/>
      <c r="C13" s="190"/>
      <c r="D13" s="190"/>
      <c r="E13" s="190"/>
      <c r="F13" s="190"/>
      <c r="G13" s="190"/>
      <c r="H13" s="190"/>
      <c r="I13" s="190"/>
      <c r="J13" s="190"/>
      <c r="K13" s="190"/>
      <c r="L13" s="190"/>
      <c r="M13" s="190"/>
      <c r="N13" s="190"/>
      <c r="O13" s="190"/>
      <c r="P13" s="190"/>
      <c r="Q13" s="190"/>
      <c r="R13" s="190"/>
      <c r="S13" s="190"/>
      <c r="T13" s="190"/>
      <c r="U13" s="190"/>
      <c r="V13" s="190"/>
      <c r="W13" s="190"/>
      <c r="X13" s="190"/>
      <c r="Y13" s="190"/>
      <c r="Z13" s="190"/>
      <c r="AA13" s="190"/>
      <c r="AB13" s="190"/>
      <c r="AC13" s="190"/>
      <c r="AD13" s="190"/>
      <c r="AE13" s="190"/>
      <c r="AF13" s="190"/>
      <c r="AG13" s="190"/>
      <c r="AH13" s="190"/>
      <c r="AI13" s="190"/>
      <c r="AJ13" s="190"/>
      <c r="AK13" s="190"/>
      <c r="AL13" s="190"/>
      <c r="AM13" s="190"/>
      <c r="AN13" s="190"/>
      <c r="AO13" s="190"/>
      <c r="AP13" s="190"/>
      <c r="AQ13" s="190"/>
      <c r="AR13" s="190"/>
      <c r="AS13" s="190"/>
      <c r="AT13" s="190"/>
      <c r="AU13" s="190"/>
      <c r="AV13" s="190"/>
      <c r="AW13" s="190"/>
      <c r="AX13" s="190"/>
      <c r="AY13" s="190"/>
      <c r="AZ13" s="190"/>
      <c r="BA13" s="190"/>
      <c r="BB13" s="190"/>
      <c r="BC13" s="190"/>
      <c r="BD13" s="190"/>
      <c r="BE13" s="190"/>
      <c r="BF13" s="190"/>
      <c r="BG13" s="190"/>
      <c r="BH13" s="190"/>
      <c r="BI13" s="190"/>
    </row>
    <row r="14" spans="1:61" x14ac:dyDescent="0.2">
      <c r="A14" s="190"/>
      <c r="B14" s="190"/>
      <c r="C14" s="190"/>
      <c r="D14" s="190"/>
      <c r="E14" s="190"/>
      <c r="F14" s="190"/>
      <c r="G14" s="190"/>
      <c r="H14" s="190"/>
      <c r="I14" s="190"/>
      <c r="J14" s="190"/>
      <c r="K14" s="190"/>
      <c r="L14" s="190"/>
      <c r="M14" s="190"/>
      <c r="N14" s="190"/>
      <c r="O14" s="190"/>
      <c r="P14" s="190"/>
      <c r="Q14" s="190"/>
      <c r="R14" s="190"/>
      <c r="S14" s="190"/>
      <c r="T14" s="190"/>
      <c r="U14" s="190"/>
      <c r="V14" s="190"/>
      <c r="W14" s="190"/>
      <c r="X14" s="190"/>
      <c r="Y14" s="190"/>
      <c r="Z14" s="190"/>
      <c r="AA14" s="190"/>
      <c r="AB14" s="190"/>
      <c r="AC14" s="190"/>
      <c r="AD14" s="190"/>
      <c r="AE14" s="190"/>
      <c r="AF14" s="190"/>
      <c r="AG14" s="190"/>
      <c r="AH14" s="190"/>
      <c r="AI14" s="190"/>
      <c r="AJ14" s="190"/>
      <c r="AK14" s="190"/>
      <c r="AL14" s="190"/>
      <c r="AM14" s="190"/>
      <c r="AN14" s="190"/>
      <c r="AO14" s="190"/>
      <c r="AP14" s="190"/>
      <c r="AQ14" s="190"/>
      <c r="AR14" s="190"/>
      <c r="AS14" s="190"/>
      <c r="AT14" s="190"/>
      <c r="AU14" s="190"/>
      <c r="AV14" s="190"/>
      <c r="AW14" s="190"/>
      <c r="AX14" s="190"/>
      <c r="AY14" s="190"/>
      <c r="AZ14" s="190"/>
      <c r="BA14" s="190"/>
      <c r="BB14" s="190"/>
      <c r="BC14" s="190"/>
      <c r="BD14" s="190"/>
      <c r="BE14" s="190"/>
      <c r="BF14" s="190"/>
      <c r="BG14" s="190"/>
      <c r="BH14" s="190"/>
      <c r="BI14" s="190"/>
    </row>
    <row r="15" spans="1:61" ht="15" x14ac:dyDescent="0.25">
      <c r="A15" s="190"/>
      <c r="B15" s="190"/>
      <c r="C15" s="14" t="s">
        <v>21</v>
      </c>
      <c r="D15" s="14"/>
      <c r="E15" s="14"/>
      <c r="F15" s="14"/>
      <c r="G15" s="14"/>
      <c r="H15" s="14"/>
      <c r="I15" s="190"/>
      <c r="J15" s="190"/>
      <c r="K15" s="190"/>
      <c r="L15" s="190"/>
      <c r="M15" s="190"/>
      <c r="N15" s="190"/>
      <c r="O15" s="190"/>
      <c r="P15" s="190"/>
      <c r="Q15" s="190"/>
      <c r="R15" s="190"/>
      <c r="S15" s="190"/>
      <c r="T15" s="190"/>
      <c r="U15" s="190"/>
      <c r="V15" s="190"/>
      <c r="W15" s="190"/>
      <c r="X15" s="190"/>
      <c r="Y15" s="190"/>
      <c r="Z15" s="190"/>
      <c r="AA15" s="190"/>
      <c r="AB15" s="190"/>
      <c r="AC15" s="190"/>
      <c r="AD15" s="190"/>
      <c r="AE15" s="190"/>
      <c r="AF15" s="190"/>
      <c r="AG15" s="190"/>
      <c r="AH15" s="190"/>
      <c r="AI15" s="190"/>
      <c r="AJ15" s="190"/>
      <c r="AK15" s="190"/>
      <c r="AL15" s="190"/>
      <c r="AM15" s="190"/>
      <c r="AN15" s="190"/>
      <c r="AO15" s="190"/>
      <c r="AP15" s="190"/>
      <c r="AQ15" s="190"/>
      <c r="AR15" s="190"/>
      <c r="AS15" s="190"/>
      <c r="AT15" s="190"/>
      <c r="AU15" s="190"/>
      <c r="AV15" s="190"/>
      <c r="AW15" s="190"/>
      <c r="AX15" s="190"/>
      <c r="AY15" s="190"/>
      <c r="AZ15" s="190"/>
      <c r="BA15" s="190"/>
      <c r="BB15" s="190"/>
      <c r="BC15" s="190"/>
      <c r="BD15" s="190"/>
      <c r="BE15" s="190"/>
      <c r="BF15" s="190"/>
      <c r="BG15" s="190"/>
      <c r="BH15" s="190"/>
      <c r="BI15" s="190"/>
    </row>
    <row r="16" spans="1:61" ht="15" x14ac:dyDescent="0.25">
      <c r="A16" s="190"/>
      <c r="B16" s="190"/>
      <c r="C16" s="14" t="s">
        <v>26</v>
      </c>
      <c r="D16" s="14" t="s">
        <v>27</v>
      </c>
      <c r="E16" s="14"/>
      <c r="F16" s="14"/>
      <c r="G16" s="14"/>
      <c r="H16" s="14" t="s">
        <v>22</v>
      </c>
      <c r="I16" s="190"/>
      <c r="J16" s="190"/>
      <c r="K16" s="190"/>
      <c r="L16" s="190"/>
      <c r="M16" s="190"/>
      <c r="N16" s="190"/>
      <c r="O16" s="190"/>
      <c r="P16" s="190"/>
      <c r="Q16" s="190"/>
      <c r="R16" s="190"/>
      <c r="S16" s="190"/>
      <c r="T16" s="190"/>
      <c r="U16" s="190"/>
      <c r="V16" s="190"/>
      <c r="W16" s="190"/>
      <c r="X16" s="190"/>
      <c r="Y16" s="190"/>
      <c r="Z16" s="190"/>
      <c r="AA16" s="190"/>
      <c r="AB16" s="190"/>
      <c r="AC16" s="190"/>
      <c r="AD16" s="190"/>
      <c r="AE16" s="190"/>
      <c r="AF16" s="190"/>
      <c r="AG16" s="190"/>
      <c r="AH16" s="190"/>
      <c r="AI16" s="190"/>
      <c r="AJ16" s="190"/>
      <c r="AK16" s="190"/>
      <c r="AL16" s="190"/>
      <c r="AM16" s="190"/>
      <c r="AN16" s="190"/>
      <c r="AO16" s="190"/>
      <c r="AP16" s="190"/>
      <c r="AQ16" s="190"/>
      <c r="AR16" s="190"/>
      <c r="AS16" s="190"/>
      <c r="AT16" s="190"/>
      <c r="AU16" s="190"/>
      <c r="AV16" s="190"/>
      <c r="AW16" s="190"/>
      <c r="AX16" s="190"/>
      <c r="AY16" s="190"/>
      <c r="AZ16" s="190"/>
      <c r="BA16" s="190"/>
      <c r="BB16" s="190"/>
      <c r="BC16" s="190"/>
      <c r="BD16" s="190"/>
      <c r="BE16" s="190"/>
      <c r="BF16" s="190"/>
      <c r="BG16" s="190"/>
      <c r="BH16" s="190"/>
      <c r="BI16" s="190"/>
    </row>
    <row r="17" spans="1:61" ht="15" x14ac:dyDescent="0.25">
      <c r="A17" s="190"/>
      <c r="B17" s="190"/>
      <c r="C17" s="14" t="s">
        <v>23</v>
      </c>
      <c r="D17" s="14" t="s">
        <v>24</v>
      </c>
      <c r="E17" s="14"/>
      <c r="F17" s="14"/>
      <c r="G17" s="14"/>
      <c r="H17" s="14" t="s">
        <v>25</v>
      </c>
      <c r="I17" s="190"/>
      <c r="J17" s="190"/>
      <c r="K17" s="190"/>
      <c r="L17" s="190"/>
      <c r="M17" s="190"/>
      <c r="N17" s="190"/>
      <c r="O17" s="190"/>
      <c r="P17" s="190"/>
      <c r="Q17" s="190"/>
      <c r="R17" s="190"/>
      <c r="S17" s="190"/>
      <c r="T17" s="190"/>
      <c r="U17" s="190"/>
      <c r="V17" s="190"/>
      <c r="W17" s="190"/>
      <c r="X17" s="190"/>
      <c r="Y17" s="190"/>
      <c r="Z17" s="190"/>
      <c r="AA17" s="190"/>
      <c r="AB17" s="190"/>
      <c r="AC17" s="190"/>
      <c r="AD17" s="190"/>
      <c r="AE17" s="190"/>
      <c r="AF17" s="190"/>
      <c r="AG17" s="190"/>
      <c r="AH17" s="190"/>
      <c r="AI17" s="190"/>
      <c r="AJ17" s="190"/>
      <c r="AK17" s="190"/>
      <c r="AL17" s="190"/>
      <c r="AM17" s="190"/>
      <c r="AN17" s="190"/>
      <c r="AO17" s="190"/>
      <c r="AP17" s="190"/>
      <c r="AQ17" s="190"/>
      <c r="AR17" s="190"/>
      <c r="AS17" s="190"/>
      <c r="AT17" s="190"/>
      <c r="AU17" s="190"/>
      <c r="AV17" s="190"/>
      <c r="AW17" s="190"/>
      <c r="AX17" s="190"/>
      <c r="AY17" s="190"/>
      <c r="AZ17" s="190"/>
      <c r="BA17" s="190"/>
      <c r="BB17" s="190"/>
      <c r="BC17" s="190"/>
      <c r="BD17" s="190"/>
      <c r="BE17" s="190"/>
      <c r="BF17" s="190"/>
      <c r="BG17" s="190"/>
      <c r="BH17" s="190"/>
      <c r="BI17" s="190"/>
    </row>
    <row r="18" spans="1:61" ht="15" x14ac:dyDescent="0.25">
      <c r="A18" s="190"/>
      <c r="B18" s="190"/>
      <c r="C18" s="14"/>
      <c r="D18" s="14"/>
      <c r="E18" s="14"/>
      <c r="F18" s="14"/>
      <c r="G18" s="14"/>
      <c r="H18" s="14"/>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0"/>
      <c r="AM18" s="190"/>
      <c r="AN18" s="190"/>
      <c r="AO18" s="190"/>
      <c r="AP18" s="190"/>
      <c r="AQ18" s="190"/>
      <c r="AR18" s="190"/>
      <c r="AS18" s="190"/>
      <c r="AT18" s="190"/>
      <c r="AU18" s="190"/>
      <c r="AV18" s="190"/>
      <c r="AW18" s="190"/>
      <c r="AX18" s="190"/>
      <c r="AY18" s="190"/>
      <c r="AZ18" s="190"/>
      <c r="BA18" s="190"/>
      <c r="BB18" s="190"/>
      <c r="BC18" s="190"/>
      <c r="BD18" s="190"/>
      <c r="BE18" s="190"/>
      <c r="BF18" s="190"/>
      <c r="BG18" s="190"/>
      <c r="BH18" s="190"/>
      <c r="BI18" s="190"/>
    </row>
    <row r="19" spans="1:61" ht="15" x14ac:dyDescent="0.25">
      <c r="A19" s="190"/>
      <c r="B19" s="190"/>
      <c r="C19" s="14"/>
      <c r="D19" s="14"/>
      <c r="E19" s="14"/>
      <c r="F19" s="14"/>
      <c r="G19" s="14"/>
      <c r="H19" s="14"/>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c r="AF19" s="190"/>
      <c r="AG19" s="190"/>
      <c r="AH19" s="190"/>
      <c r="AI19" s="190"/>
      <c r="AJ19" s="190"/>
      <c r="AK19" s="190"/>
      <c r="AL19" s="190"/>
      <c r="AM19" s="190"/>
      <c r="AN19" s="190"/>
      <c r="AO19" s="190"/>
      <c r="AP19" s="190"/>
      <c r="AQ19" s="190"/>
      <c r="AR19" s="190"/>
      <c r="AS19" s="190"/>
      <c r="AT19" s="190"/>
      <c r="AU19" s="190"/>
      <c r="AV19" s="190"/>
      <c r="AW19" s="190"/>
      <c r="AX19" s="190"/>
      <c r="AY19" s="190"/>
      <c r="AZ19" s="190"/>
      <c r="BA19" s="190"/>
      <c r="BB19" s="190"/>
      <c r="BC19" s="190"/>
      <c r="BD19" s="190"/>
      <c r="BE19" s="190"/>
      <c r="BF19" s="190"/>
      <c r="BG19" s="190"/>
      <c r="BH19" s="190"/>
      <c r="BI19" s="190"/>
    </row>
    <row r="20" spans="1:61" ht="15" x14ac:dyDescent="0.25">
      <c r="A20" s="190"/>
      <c r="B20" s="190"/>
      <c r="C20" s="14"/>
      <c r="D20" s="14"/>
      <c r="E20" s="14"/>
      <c r="F20" s="14"/>
      <c r="G20" s="14"/>
      <c r="H20" s="14"/>
      <c r="I20" s="190"/>
      <c r="J20" s="190"/>
      <c r="K20" s="190"/>
      <c r="L20" s="190"/>
      <c r="M20" s="190"/>
      <c r="N20" s="190"/>
      <c r="O20" s="190"/>
      <c r="P20" s="190"/>
      <c r="Q20" s="190"/>
      <c r="R20" s="190"/>
      <c r="S20" s="190"/>
      <c r="T20" s="190"/>
      <c r="U20" s="190"/>
      <c r="V20" s="190"/>
      <c r="W20" s="190"/>
      <c r="X20" s="190"/>
      <c r="Y20" s="190"/>
      <c r="Z20" s="190"/>
      <c r="AA20" s="190"/>
      <c r="AB20" s="190"/>
      <c r="AC20" s="190"/>
      <c r="AD20" s="190"/>
      <c r="AE20" s="190"/>
      <c r="AF20" s="190"/>
      <c r="AG20" s="190"/>
      <c r="AH20" s="190"/>
      <c r="AI20" s="190"/>
      <c r="AJ20" s="190"/>
      <c r="AK20" s="190"/>
      <c r="AL20" s="190"/>
      <c r="AM20" s="190"/>
      <c r="AN20" s="190"/>
      <c r="AO20" s="190"/>
      <c r="AP20" s="190"/>
      <c r="AQ20" s="190"/>
      <c r="AR20" s="190"/>
      <c r="AS20" s="190"/>
      <c r="AT20" s="190"/>
      <c r="AU20" s="190"/>
      <c r="AV20" s="190"/>
      <c r="AW20" s="190"/>
      <c r="AX20" s="190"/>
      <c r="AY20" s="190"/>
      <c r="AZ20" s="190"/>
      <c r="BA20" s="190"/>
      <c r="BB20" s="190"/>
      <c r="BC20" s="190"/>
      <c r="BD20" s="190"/>
      <c r="BE20" s="190"/>
      <c r="BF20" s="190"/>
      <c r="BG20" s="190"/>
      <c r="BH20" s="190"/>
      <c r="BI20" s="190"/>
    </row>
    <row r="21" spans="1:61" x14ac:dyDescent="0.2">
      <c r="A21" s="190"/>
      <c r="B21" s="190"/>
      <c r="C21" s="190"/>
      <c r="D21" s="190"/>
      <c r="E21" s="190"/>
      <c r="F21" s="190"/>
      <c r="G21" s="190"/>
      <c r="H21" s="190"/>
      <c r="I21" s="190"/>
      <c r="J21" s="190"/>
      <c r="K21" s="190"/>
      <c r="L21" s="190"/>
      <c r="M21" s="190"/>
      <c r="N21" s="190"/>
      <c r="O21" s="190"/>
      <c r="P21" s="190"/>
      <c r="Q21" s="190"/>
      <c r="R21" s="190"/>
      <c r="S21" s="190"/>
      <c r="T21" s="190"/>
      <c r="U21" s="190"/>
      <c r="V21" s="190"/>
      <c r="W21" s="190"/>
      <c r="X21" s="190"/>
      <c r="Y21" s="190"/>
      <c r="Z21" s="190"/>
      <c r="AA21" s="190"/>
      <c r="AB21" s="190"/>
      <c r="AC21" s="190"/>
      <c r="AD21" s="190"/>
      <c r="AE21" s="190"/>
      <c r="AF21" s="190"/>
      <c r="AG21" s="190"/>
      <c r="AH21" s="190"/>
      <c r="AI21" s="190"/>
      <c r="AJ21" s="190"/>
      <c r="AK21" s="190"/>
      <c r="AL21" s="190"/>
      <c r="AM21" s="190"/>
      <c r="AN21" s="190"/>
      <c r="AO21" s="190"/>
      <c r="AP21" s="190"/>
      <c r="AQ21" s="190"/>
      <c r="AR21" s="190"/>
      <c r="AS21" s="190"/>
      <c r="AT21" s="190"/>
      <c r="AU21" s="190"/>
      <c r="AV21" s="190"/>
      <c r="AW21" s="190"/>
      <c r="AX21" s="190"/>
      <c r="AY21" s="190"/>
      <c r="AZ21" s="190"/>
      <c r="BA21" s="190"/>
      <c r="BB21" s="190"/>
      <c r="BC21" s="190"/>
      <c r="BD21" s="190"/>
      <c r="BE21" s="190"/>
      <c r="BF21" s="190"/>
      <c r="BG21" s="190"/>
      <c r="BH21" s="190"/>
      <c r="BI21" s="190"/>
    </row>
    <row r="22" spans="1:61" x14ac:dyDescent="0.2">
      <c r="A22" s="190"/>
      <c r="B22" s="190"/>
      <c r="C22" s="190"/>
      <c r="D22" s="190"/>
      <c r="E22" s="190"/>
      <c r="F22" s="190"/>
      <c r="G22" s="190"/>
      <c r="H22" s="190"/>
      <c r="I22" s="190"/>
      <c r="J22" s="190"/>
      <c r="K22" s="190"/>
      <c r="L22" s="190"/>
      <c r="M22" s="190"/>
      <c r="N22" s="190"/>
      <c r="O22" s="190"/>
      <c r="P22" s="190"/>
      <c r="Q22" s="190"/>
      <c r="R22" s="190"/>
      <c r="S22" s="190"/>
      <c r="T22" s="190"/>
      <c r="U22" s="190"/>
      <c r="V22" s="190"/>
      <c r="W22" s="190"/>
      <c r="X22" s="190"/>
      <c r="Y22" s="190"/>
      <c r="Z22" s="190"/>
      <c r="AA22" s="190"/>
      <c r="AB22" s="190"/>
      <c r="AC22" s="190"/>
      <c r="AD22" s="190"/>
      <c r="AE22" s="190"/>
      <c r="AF22" s="190"/>
      <c r="AG22" s="190"/>
      <c r="AH22" s="190"/>
      <c r="AI22" s="190"/>
      <c r="AJ22" s="190"/>
      <c r="AK22" s="190"/>
      <c r="AL22" s="190"/>
      <c r="AM22" s="190"/>
      <c r="AN22" s="190"/>
      <c r="AO22" s="190"/>
      <c r="AP22" s="190"/>
      <c r="AQ22" s="190"/>
      <c r="AR22" s="190"/>
      <c r="AS22" s="190"/>
      <c r="AT22" s="190"/>
      <c r="AU22" s="190"/>
      <c r="AV22" s="190"/>
      <c r="AW22" s="190"/>
      <c r="AX22" s="190"/>
      <c r="AY22" s="190"/>
      <c r="AZ22" s="190"/>
      <c r="BA22" s="190"/>
      <c r="BB22" s="190"/>
      <c r="BC22" s="190"/>
      <c r="BD22" s="190"/>
      <c r="BE22" s="190"/>
      <c r="BF22" s="190"/>
      <c r="BG22" s="190"/>
      <c r="BH22" s="190"/>
      <c r="BI22" s="190"/>
    </row>
    <row r="23" spans="1:61" x14ac:dyDescent="0.2">
      <c r="A23" s="190"/>
      <c r="B23" s="190"/>
      <c r="C23" s="190"/>
      <c r="D23" s="190"/>
      <c r="E23" s="190"/>
      <c r="F23" s="190"/>
      <c r="G23" s="190"/>
      <c r="H23" s="190"/>
      <c r="I23" s="190"/>
      <c r="J23" s="190"/>
      <c r="K23" s="190"/>
      <c r="L23" s="190"/>
      <c r="M23" s="190"/>
      <c r="N23" s="190"/>
      <c r="O23" s="190"/>
      <c r="P23" s="190"/>
      <c r="Q23" s="190"/>
      <c r="R23" s="190"/>
      <c r="S23" s="190"/>
      <c r="T23" s="190"/>
      <c r="U23" s="190"/>
      <c r="V23" s="190"/>
      <c r="W23" s="190"/>
      <c r="X23" s="190"/>
      <c r="Y23" s="190"/>
      <c r="Z23" s="190"/>
      <c r="AA23" s="190"/>
      <c r="AB23" s="190"/>
      <c r="AC23" s="190"/>
      <c r="AD23" s="190"/>
      <c r="AE23" s="190"/>
      <c r="AF23" s="190"/>
      <c r="AG23" s="190"/>
      <c r="AH23" s="190"/>
      <c r="AI23" s="190"/>
      <c r="AJ23" s="190"/>
      <c r="AK23" s="190"/>
      <c r="AL23" s="190"/>
      <c r="AM23" s="190"/>
      <c r="AN23" s="190"/>
      <c r="AO23" s="190"/>
      <c r="AP23" s="190"/>
      <c r="AQ23" s="190"/>
      <c r="AR23" s="190"/>
      <c r="AS23" s="190"/>
      <c r="AT23" s="190"/>
      <c r="AU23" s="190"/>
      <c r="AV23" s="190"/>
      <c r="AW23" s="190"/>
      <c r="AX23" s="190"/>
      <c r="AY23" s="190"/>
      <c r="AZ23" s="190"/>
      <c r="BA23" s="190"/>
      <c r="BB23" s="190"/>
      <c r="BC23" s="190"/>
      <c r="BD23" s="190"/>
      <c r="BE23" s="190"/>
      <c r="BF23" s="190"/>
      <c r="BG23" s="190"/>
      <c r="BH23" s="190"/>
      <c r="BI23" s="190"/>
    </row>
    <row r="24" spans="1:61" x14ac:dyDescent="0.2">
      <c r="A24" s="190"/>
      <c r="B24" s="190"/>
      <c r="C24" s="190"/>
      <c r="D24" s="190"/>
      <c r="E24" s="190"/>
      <c r="F24" s="190"/>
      <c r="G24" s="190"/>
      <c r="H24" s="190"/>
      <c r="I24" s="190"/>
      <c r="J24" s="190"/>
      <c r="K24" s="190"/>
      <c r="L24" s="190"/>
      <c r="M24" s="190"/>
      <c r="N24" s="190"/>
      <c r="O24" s="190"/>
      <c r="P24" s="190"/>
      <c r="Q24" s="190"/>
      <c r="R24" s="190"/>
      <c r="S24" s="190"/>
      <c r="T24" s="190"/>
      <c r="U24" s="190"/>
      <c r="V24" s="190"/>
      <c r="W24" s="190"/>
      <c r="X24" s="190"/>
      <c r="Y24" s="190"/>
      <c r="Z24" s="190"/>
      <c r="AA24" s="190"/>
      <c r="AB24" s="190"/>
      <c r="AC24" s="190"/>
      <c r="AD24" s="190"/>
      <c r="AE24" s="190"/>
      <c r="AF24" s="190"/>
      <c r="AG24" s="190"/>
      <c r="AH24" s="190"/>
      <c r="AI24" s="190"/>
      <c r="AJ24" s="190"/>
      <c r="AK24" s="190"/>
      <c r="AL24" s="190"/>
      <c r="AM24" s="190"/>
      <c r="AN24" s="190"/>
      <c r="AO24" s="190"/>
      <c r="AP24" s="190"/>
      <c r="AQ24" s="190"/>
      <c r="AR24" s="190"/>
      <c r="AS24" s="190"/>
      <c r="AT24" s="190"/>
      <c r="AU24" s="190"/>
      <c r="AV24" s="190"/>
      <c r="AW24" s="190"/>
      <c r="AX24" s="190"/>
      <c r="AY24" s="190"/>
      <c r="AZ24" s="190"/>
      <c r="BA24" s="190"/>
      <c r="BB24" s="190"/>
      <c r="BC24" s="190"/>
      <c r="BD24" s="190"/>
      <c r="BE24" s="190"/>
      <c r="BF24" s="190"/>
      <c r="BG24" s="190"/>
      <c r="BH24" s="190"/>
      <c r="BI24" s="190"/>
    </row>
    <row r="25" spans="1:61" x14ac:dyDescent="0.2">
      <c r="A25" s="190"/>
      <c r="B25" s="190"/>
      <c r="C25" s="190"/>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0"/>
      <c r="AQ25" s="190"/>
      <c r="AR25" s="190"/>
      <c r="AS25" s="190"/>
      <c r="AT25" s="190"/>
      <c r="AU25" s="190"/>
      <c r="AV25" s="190"/>
      <c r="AW25" s="190"/>
      <c r="AX25" s="190"/>
      <c r="AY25" s="190"/>
      <c r="AZ25" s="190"/>
      <c r="BA25" s="190"/>
      <c r="BB25" s="190"/>
      <c r="BC25" s="190"/>
      <c r="BD25" s="190"/>
      <c r="BE25" s="190"/>
      <c r="BF25" s="190"/>
      <c r="BG25" s="190"/>
      <c r="BH25" s="190"/>
      <c r="BI25" s="190"/>
    </row>
    <row r="26" spans="1:61" x14ac:dyDescent="0.2">
      <c r="A26" s="190"/>
      <c r="B26" s="190"/>
      <c r="C26" s="190"/>
      <c r="D26" s="190"/>
      <c r="E26" s="190"/>
      <c r="F26" s="190"/>
      <c r="G26" s="190"/>
      <c r="H26" s="190"/>
      <c r="I26" s="190"/>
      <c r="J26" s="190"/>
      <c r="K26" s="190"/>
      <c r="L26" s="190"/>
      <c r="M26" s="190"/>
      <c r="N26" s="190"/>
      <c r="O26" s="190"/>
      <c r="P26" s="190"/>
      <c r="Q26" s="190"/>
      <c r="R26" s="190"/>
      <c r="S26" s="190"/>
      <c r="T26" s="190"/>
      <c r="U26" s="190"/>
      <c r="V26" s="190"/>
      <c r="W26" s="190"/>
      <c r="X26" s="190"/>
      <c r="Y26" s="190"/>
      <c r="Z26" s="190"/>
      <c r="AA26" s="190"/>
      <c r="AB26" s="190"/>
      <c r="AC26" s="190"/>
      <c r="AD26" s="190"/>
      <c r="AE26" s="190"/>
      <c r="AF26" s="190"/>
      <c r="AG26" s="190"/>
      <c r="AH26" s="190"/>
      <c r="AI26" s="190"/>
      <c r="AJ26" s="190"/>
      <c r="AK26" s="190"/>
      <c r="AL26" s="190"/>
      <c r="AM26" s="190"/>
      <c r="AN26" s="190"/>
      <c r="AO26" s="190"/>
      <c r="AP26" s="190"/>
      <c r="AQ26" s="190"/>
      <c r="AR26" s="190"/>
      <c r="AS26" s="190"/>
      <c r="AT26" s="190"/>
      <c r="AU26" s="190"/>
      <c r="AV26" s="190"/>
      <c r="AW26" s="190"/>
      <c r="AX26" s="190"/>
      <c r="AY26" s="190"/>
      <c r="AZ26" s="190"/>
      <c r="BA26" s="190"/>
      <c r="BB26" s="190"/>
      <c r="BC26" s="190"/>
      <c r="BD26" s="190"/>
      <c r="BE26" s="190"/>
      <c r="BF26" s="190"/>
      <c r="BG26" s="190"/>
      <c r="BH26" s="190"/>
      <c r="BI26" s="190"/>
    </row>
    <row r="27" spans="1:61" x14ac:dyDescent="0.2">
      <c r="A27" s="190"/>
      <c r="B27" s="190"/>
      <c r="C27" s="190"/>
      <c r="D27" s="190"/>
      <c r="E27" s="190"/>
      <c r="F27" s="190"/>
      <c r="G27" s="190"/>
      <c r="H27" s="190"/>
      <c r="I27" s="190"/>
      <c r="J27" s="190"/>
      <c r="K27" s="190"/>
      <c r="L27" s="190"/>
      <c r="M27" s="190"/>
      <c r="N27" s="190"/>
      <c r="O27" s="190"/>
      <c r="P27" s="190"/>
      <c r="Q27" s="190"/>
      <c r="R27" s="190"/>
      <c r="S27" s="190"/>
      <c r="T27" s="190"/>
      <c r="U27" s="190"/>
      <c r="V27" s="190"/>
      <c r="W27" s="190"/>
      <c r="X27" s="190"/>
      <c r="Y27" s="190"/>
      <c r="Z27" s="190"/>
      <c r="AA27" s="190"/>
      <c r="AB27" s="190"/>
      <c r="AC27" s="190"/>
      <c r="AD27" s="190"/>
      <c r="AE27" s="190"/>
      <c r="AF27" s="190"/>
      <c r="AG27" s="190"/>
      <c r="AH27" s="190"/>
      <c r="AI27" s="190"/>
      <c r="AJ27" s="190"/>
      <c r="AK27" s="190"/>
      <c r="AL27" s="190"/>
      <c r="AM27" s="190"/>
      <c r="AN27" s="190"/>
      <c r="AO27" s="190"/>
      <c r="AP27" s="190"/>
      <c r="AQ27" s="190"/>
      <c r="AR27" s="190"/>
      <c r="AS27" s="190"/>
      <c r="AT27" s="190"/>
      <c r="AU27" s="190"/>
      <c r="AV27" s="190"/>
      <c r="AW27" s="190"/>
      <c r="AX27" s="190"/>
      <c r="AY27" s="190"/>
      <c r="AZ27" s="190"/>
      <c r="BA27" s="190"/>
      <c r="BB27" s="190"/>
      <c r="BC27" s="190"/>
      <c r="BD27" s="190"/>
      <c r="BE27" s="190"/>
      <c r="BF27" s="190"/>
      <c r="BG27" s="190"/>
      <c r="BH27" s="190"/>
      <c r="BI27" s="190"/>
    </row>
    <row r="28" spans="1:61" x14ac:dyDescent="0.2">
      <c r="A28" s="190"/>
      <c r="B28" s="190"/>
      <c r="C28" s="190"/>
      <c r="D28" s="190"/>
      <c r="E28" s="190"/>
      <c r="F28" s="190"/>
      <c r="G28" s="190"/>
      <c r="H28" s="190"/>
      <c r="I28" s="190"/>
      <c r="J28" s="190"/>
      <c r="K28" s="190"/>
      <c r="L28" s="190"/>
      <c r="M28" s="190"/>
      <c r="N28" s="190"/>
      <c r="O28" s="190"/>
      <c r="P28" s="190"/>
      <c r="Q28" s="190"/>
      <c r="R28" s="190"/>
      <c r="S28" s="190"/>
      <c r="T28" s="190"/>
      <c r="U28" s="190"/>
      <c r="V28" s="190"/>
      <c r="W28" s="190"/>
      <c r="X28" s="190"/>
      <c r="Y28" s="190"/>
      <c r="Z28" s="190"/>
      <c r="AA28" s="190"/>
      <c r="AB28" s="190"/>
      <c r="AC28" s="190"/>
      <c r="AD28" s="190"/>
      <c r="AE28" s="190"/>
      <c r="AF28" s="190"/>
      <c r="AG28" s="190"/>
      <c r="AH28" s="190"/>
      <c r="AI28" s="190"/>
      <c r="AJ28" s="190"/>
      <c r="AK28" s="190"/>
      <c r="AL28" s="190"/>
      <c r="AM28" s="190"/>
      <c r="AN28" s="190"/>
      <c r="AO28" s="190"/>
      <c r="AP28" s="190"/>
      <c r="AQ28" s="190"/>
      <c r="AR28" s="190"/>
      <c r="AS28" s="190"/>
      <c r="AT28" s="190"/>
      <c r="AU28" s="190"/>
      <c r="AV28" s="190"/>
      <c r="AW28" s="190"/>
      <c r="AX28" s="190"/>
      <c r="AY28" s="190"/>
      <c r="AZ28" s="190"/>
      <c r="BA28" s="190"/>
      <c r="BB28" s="190"/>
      <c r="BC28" s="190"/>
      <c r="BD28" s="190"/>
      <c r="BE28" s="190"/>
      <c r="BF28" s="190"/>
      <c r="BG28" s="190"/>
      <c r="BH28" s="190"/>
      <c r="BI28" s="190"/>
    </row>
    <row r="29" spans="1:61" x14ac:dyDescent="0.2">
      <c r="A29" s="190"/>
      <c r="B29" s="190"/>
      <c r="C29" s="190"/>
      <c r="D29" s="190"/>
      <c r="E29" s="190"/>
      <c r="F29" s="190"/>
      <c r="G29" s="190"/>
      <c r="H29" s="190"/>
      <c r="I29" s="190"/>
      <c r="J29" s="190"/>
      <c r="K29" s="190"/>
      <c r="L29" s="190"/>
      <c r="M29" s="190"/>
      <c r="N29" s="190"/>
      <c r="O29" s="190"/>
      <c r="P29" s="190"/>
      <c r="Q29" s="190"/>
      <c r="R29" s="190"/>
      <c r="S29" s="190"/>
      <c r="T29" s="190"/>
      <c r="U29" s="190"/>
      <c r="V29" s="190"/>
      <c r="W29" s="190"/>
      <c r="X29" s="190"/>
      <c r="Y29" s="190"/>
      <c r="Z29" s="190"/>
      <c r="AA29" s="190"/>
      <c r="AB29" s="190"/>
      <c r="AC29" s="190"/>
      <c r="AD29" s="190"/>
      <c r="AE29" s="190"/>
      <c r="AF29" s="190"/>
      <c r="AG29" s="190"/>
      <c r="AH29" s="190"/>
      <c r="AI29" s="190"/>
      <c r="AJ29" s="190"/>
      <c r="AK29" s="190"/>
      <c r="AL29" s="190"/>
      <c r="AM29" s="190"/>
      <c r="AN29" s="190"/>
      <c r="AO29" s="190"/>
      <c r="AP29" s="190"/>
      <c r="AQ29" s="190"/>
      <c r="AR29" s="190"/>
      <c r="AS29" s="190"/>
      <c r="AT29" s="190"/>
      <c r="AU29" s="190"/>
      <c r="AV29" s="190"/>
      <c r="AW29" s="190"/>
      <c r="AX29" s="190"/>
      <c r="AY29" s="190"/>
      <c r="AZ29" s="190"/>
      <c r="BA29" s="190"/>
      <c r="BB29" s="190"/>
      <c r="BC29" s="190"/>
      <c r="BD29" s="190"/>
      <c r="BE29" s="190"/>
      <c r="BF29" s="190"/>
      <c r="BG29" s="190"/>
      <c r="BH29" s="190"/>
      <c r="BI29" s="190"/>
    </row>
    <row r="30" spans="1:61" x14ac:dyDescent="0.2">
      <c r="A30" s="190"/>
      <c r="B30" s="190"/>
      <c r="C30" s="190"/>
      <c r="D30" s="190"/>
      <c r="E30" s="190"/>
      <c r="F30" s="190"/>
      <c r="G30" s="190"/>
      <c r="H30" s="190"/>
      <c r="I30" s="190"/>
      <c r="J30" s="190"/>
      <c r="K30" s="190"/>
      <c r="L30" s="190"/>
      <c r="M30" s="190"/>
      <c r="N30" s="190"/>
      <c r="O30" s="190"/>
      <c r="P30" s="190"/>
      <c r="Q30" s="190"/>
      <c r="R30" s="190"/>
      <c r="S30" s="190"/>
      <c r="T30" s="190"/>
      <c r="U30" s="190"/>
      <c r="V30" s="190"/>
      <c r="W30" s="190"/>
      <c r="X30" s="190"/>
      <c r="Y30" s="190"/>
      <c r="Z30" s="190"/>
      <c r="AA30" s="190"/>
      <c r="AB30" s="190"/>
      <c r="AC30" s="190"/>
      <c r="AD30" s="190"/>
      <c r="AE30" s="190"/>
      <c r="AF30" s="190"/>
      <c r="AG30" s="190"/>
      <c r="AH30" s="190"/>
      <c r="AI30" s="190"/>
      <c r="AJ30" s="190"/>
      <c r="AK30" s="190"/>
      <c r="AL30" s="190"/>
      <c r="AM30" s="190"/>
      <c r="AN30" s="190"/>
      <c r="AO30" s="190"/>
      <c r="AP30" s="190"/>
      <c r="AQ30" s="190"/>
      <c r="AR30" s="190"/>
      <c r="AS30" s="190"/>
      <c r="AT30" s="190"/>
      <c r="AU30" s="190"/>
      <c r="AV30" s="190"/>
      <c r="AW30" s="190"/>
      <c r="AX30" s="190"/>
      <c r="AY30" s="190"/>
      <c r="AZ30" s="190"/>
      <c r="BA30" s="190"/>
      <c r="BB30" s="190"/>
      <c r="BC30" s="190"/>
      <c r="BD30" s="190"/>
      <c r="BE30" s="190"/>
      <c r="BF30" s="190"/>
      <c r="BG30" s="190"/>
      <c r="BH30" s="190"/>
      <c r="BI30" s="190"/>
    </row>
    <row r="31" spans="1:61" x14ac:dyDescent="0.2">
      <c r="A31" s="190"/>
      <c r="B31" s="190"/>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row>
    <row r="32" spans="1:61" x14ac:dyDescent="0.2">
      <c r="A32" s="190"/>
      <c r="B32" s="190"/>
      <c r="C32" s="190"/>
      <c r="D32" s="190"/>
      <c r="E32" s="190"/>
      <c r="F32" s="190"/>
      <c r="G32" s="190"/>
      <c r="H32" s="190"/>
      <c r="I32" s="190"/>
      <c r="J32" s="190"/>
      <c r="K32" s="190"/>
      <c r="L32" s="190"/>
      <c r="M32" s="190"/>
      <c r="N32" s="190"/>
      <c r="O32" s="190"/>
      <c r="P32" s="190"/>
      <c r="Q32" s="190"/>
      <c r="R32" s="190"/>
      <c r="S32" s="190"/>
      <c r="T32" s="190"/>
      <c r="U32" s="190"/>
      <c r="V32" s="190"/>
      <c r="W32" s="190"/>
      <c r="X32" s="190"/>
      <c r="Y32" s="190"/>
      <c r="Z32" s="190"/>
      <c r="AA32" s="190"/>
      <c r="AB32" s="190"/>
      <c r="AC32" s="190"/>
      <c r="AD32" s="190"/>
      <c r="AE32" s="190"/>
      <c r="AF32" s="190"/>
      <c r="AG32" s="190"/>
      <c r="AH32" s="190"/>
      <c r="AI32" s="190"/>
      <c r="AJ32" s="190"/>
      <c r="AK32" s="190"/>
      <c r="AL32" s="190"/>
      <c r="AM32" s="190"/>
      <c r="AN32" s="190"/>
      <c r="AO32" s="190"/>
      <c r="AP32" s="190"/>
      <c r="AQ32" s="190"/>
      <c r="AR32" s="190"/>
      <c r="AS32" s="190"/>
      <c r="AT32" s="190"/>
      <c r="AU32" s="190"/>
      <c r="AV32" s="190"/>
      <c r="AW32" s="190"/>
      <c r="AX32" s="190"/>
      <c r="AY32" s="190"/>
      <c r="AZ32" s="190"/>
      <c r="BA32" s="190"/>
      <c r="BB32" s="190"/>
      <c r="BC32" s="190"/>
      <c r="BD32" s="190"/>
      <c r="BE32" s="190"/>
      <c r="BF32" s="190"/>
      <c r="BG32" s="190"/>
      <c r="BH32" s="190"/>
      <c r="BI32" s="190"/>
    </row>
    <row r="33" spans="1:61" x14ac:dyDescent="0.2">
      <c r="A33" s="190"/>
      <c r="B33" s="190"/>
      <c r="C33" s="190"/>
      <c r="D33" s="190"/>
      <c r="E33" s="190"/>
      <c r="F33" s="190"/>
      <c r="G33" s="190"/>
      <c r="H33" s="190"/>
      <c r="I33" s="190"/>
      <c r="J33" s="190"/>
      <c r="K33" s="190"/>
      <c r="L33" s="190"/>
      <c r="M33" s="190"/>
      <c r="N33" s="190"/>
      <c r="O33" s="190"/>
      <c r="P33" s="190"/>
      <c r="Q33" s="190"/>
      <c r="R33" s="190"/>
      <c r="S33" s="190"/>
      <c r="T33" s="190"/>
      <c r="U33" s="190"/>
      <c r="V33" s="190"/>
      <c r="W33" s="190"/>
      <c r="X33" s="190"/>
      <c r="Y33" s="190"/>
      <c r="Z33" s="190"/>
      <c r="AA33" s="190"/>
      <c r="AB33" s="190"/>
      <c r="AC33" s="190"/>
      <c r="AD33" s="190"/>
      <c r="AE33" s="190"/>
      <c r="AF33" s="190"/>
      <c r="AG33" s="190"/>
      <c r="AH33" s="190"/>
      <c r="AI33" s="190"/>
      <c r="AJ33" s="190"/>
      <c r="AK33" s="190"/>
      <c r="AL33" s="190"/>
      <c r="AM33" s="190"/>
      <c r="AN33" s="190"/>
      <c r="AO33" s="190"/>
      <c r="AP33" s="190"/>
      <c r="AQ33" s="190"/>
      <c r="AR33" s="190"/>
      <c r="AS33" s="190"/>
      <c r="AT33" s="190"/>
      <c r="AU33" s="190"/>
      <c r="AV33" s="190"/>
      <c r="AW33" s="190"/>
      <c r="AX33" s="190"/>
      <c r="AY33" s="190"/>
      <c r="AZ33" s="190"/>
      <c r="BA33" s="190"/>
      <c r="BB33" s="190"/>
      <c r="BC33" s="190"/>
      <c r="BD33" s="190"/>
      <c r="BE33" s="190"/>
      <c r="BF33" s="190"/>
      <c r="BG33" s="190"/>
      <c r="BH33" s="190"/>
      <c r="BI33" s="190"/>
    </row>
    <row r="34" spans="1:61" x14ac:dyDescent="0.2">
      <c r="A34" s="190"/>
      <c r="B34" s="190"/>
      <c r="C34" s="190"/>
      <c r="D34" s="190"/>
      <c r="E34" s="190"/>
      <c r="F34" s="190"/>
      <c r="G34" s="190"/>
      <c r="H34" s="190"/>
      <c r="I34" s="190"/>
      <c r="J34" s="190"/>
      <c r="K34" s="190"/>
      <c r="L34" s="190"/>
      <c r="M34" s="190"/>
      <c r="N34" s="190"/>
      <c r="O34" s="190"/>
      <c r="P34" s="190"/>
      <c r="Q34" s="190"/>
      <c r="R34" s="190"/>
      <c r="S34" s="190"/>
      <c r="T34" s="190"/>
      <c r="U34" s="190"/>
      <c r="V34" s="190"/>
      <c r="W34" s="190"/>
      <c r="X34" s="190"/>
      <c r="Y34" s="190"/>
      <c r="Z34" s="190"/>
      <c r="AA34" s="190"/>
      <c r="AB34" s="190"/>
      <c r="AC34" s="190"/>
      <c r="AD34" s="190"/>
      <c r="AE34" s="190"/>
      <c r="AF34" s="190"/>
      <c r="AG34" s="190"/>
      <c r="AH34" s="190"/>
      <c r="AI34" s="190"/>
      <c r="AJ34" s="190"/>
      <c r="AK34" s="190"/>
      <c r="AL34" s="190"/>
      <c r="AM34" s="190"/>
      <c r="AN34" s="190"/>
      <c r="AO34" s="190"/>
      <c r="AP34" s="190"/>
      <c r="AQ34" s="190"/>
      <c r="AR34" s="190"/>
      <c r="AS34" s="190"/>
      <c r="AT34" s="190"/>
      <c r="AU34" s="190"/>
      <c r="AV34" s="190"/>
      <c r="AW34" s="190"/>
      <c r="AX34" s="190"/>
      <c r="AY34" s="190"/>
      <c r="AZ34" s="190"/>
      <c r="BA34" s="190"/>
      <c r="BB34" s="190"/>
      <c r="BC34" s="190"/>
      <c r="BD34" s="190"/>
      <c r="BE34" s="190"/>
      <c r="BF34" s="190"/>
      <c r="BG34" s="190"/>
      <c r="BH34" s="190"/>
      <c r="BI34" s="190"/>
    </row>
    <row r="35" spans="1:61" x14ac:dyDescent="0.2">
      <c r="A35" s="190"/>
      <c r="B35" s="190"/>
      <c r="C35" s="190"/>
      <c r="D35" s="190"/>
      <c r="E35" s="190"/>
      <c r="F35" s="190"/>
      <c r="G35" s="190"/>
      <c r="H35" s="190"/>
      <c r="I35" s="190"/>
      <c r="J35" s="190"/>
      <c r="K35" s="190"/>
      <c r="L35" s="190"/>
      <c r="M35" s="190"/>
      <c r="N35" s="190"/>
      <c r="O35" s="190"/>
      <c r="P35" s="190"/>
      <c r="Q35" s="190"/>
      <c r="R35" s="190"/>
      <c r="S35" s="190"/>
      <c r="T35" s="190"/>
      <c r="U35" s="190"/>
      <c r="V35" s="190"/>
      <c r="W35" s="190"/>
      <c r="X35" s="190"/>
      <c r="Y35" s="190"/>
      <c r="Z35" s="190"/>
      <c r="AA35" s="190"/>
      <c r="AB35" s="190"/>
      <c r="AC35" s="190"/>
      <c r="AD35" s="190"/>
      <c r="AE35" s="190"/>
      <c r="AF35" s="190"/>
      <c r="AG35" s="190"/>
      <c r="AH35" s="190"/>
      <c r="AI35" s="190"/>
      <c r="AJ35" s="190"/>
      <c r="AK35" s="190"/>
      <c r="AL35" s="190"/>
      <c r="AM35" s="190"/>
      <c r="AN35" s="190"/>
      <c r="AO35" s="190"/>
      <c r="AP35" s="190"/>
      <c r="AQ35" s="190"/>
      <c r="AR35" s="190"/>
      <c r="AS35" s="190"/>
      <c r="AT35" s="190"/>
      <c r="AU35" s="190"/>
      <c r="AV35" s="190"/>
      <c r="AW35" s="190"/>
      <c r="AX35" s="190"/>
      <c r="AY35" s="190"/>
      <c r="AZ35" s="190"/>
      <c r="BA35" s="190"/>
      <c r="BB35" s="190"/>
      <c r="BC35" s="190"/>
      <c r="BD35" s="190"/>
      <c r="BE35" s="190"/>
      <c r="BF35" s="190"/>
      <c r="BG35" s="190"/>
      <c r="BH35" s="190"/>
      <c r="BI35" s="190"/>
    </row>
    <row r="36" spans="1:61" x14ac:dyDescent="0.2">
      <c r="A36" s="190"/>
      <c r="B36" s="190"/>
      <c r="C36" s="190"/>
      <c r="D36" s="190"/>
      <c r="E36" s="190"/>
      <c r="F36" s="190"/>
      <c r="G36" s="190"/>
      <c r="H36" s="190"/>
      <c r="I36" s="190"/>
      <c r="J36" s="190"/>
      <c r="K36" s="190"/>
      <c r="L36" s="190"/>
      <c r="M36" s="190"/>
      <c r="N36" s="190"/>
      <c r="O36" s="190"/>
      <c r="P36" s="190"/>
      <c r="Q36" s="190"/>
      <c r="R36" s="190"/>
      <c r="S36" s="190"/>
      <c r="T36" s="190"/>
      <c r="U36" s="190"/>
      <c r="V36" s="190"/>
      <c r="W36" s="190"/>
      <c r="X36" s="190"/>
      <c r="Y36" s="190"/>
      <c r="Z36" s="190"/>
      <c r="AA36" s="190"/>
      <c r="AB36" s="190"/>
      <c r="AC36" s="190"/>
      <c r="AD36" s="190"/>
      <c r="AE36" s="190"/>
      <c r="AF36" s="190"/>
      <c r="AG36" s="190"/>
      <c r="AH36" s="190"/>
      <c r="AI36" s="190"/>
      <c r="AJ36" s="190"/>
      <c r="AK36" s="190"/>
      <c r="AL36" s="190"/>
      <c r="AM36" s="190"/>
      <c r="AN36" s="190"/>
      <c r="AO36" s="190"/>
      <c r="AP36" s="190"/>
      <c r="AQ36" s="190"/>
      <c r="AR36" s="190"/>
      <c r="AS36" s="190"/>
      <c r="AT36" s="190"/>
      <c r="AU36" s="190"/>
      <c r="AV36" s="190"/>
      <c r="AW36" s="190"/>
      <c r="AX36" s="190"/>
      <c r="AY36" s="190"/>
      <c r="AZ36" s="190"/>
      <c r="BA36" s="190"/>
      <c r="BB36" s="190"/>
      <c r="BC36" s="190"/>
      <c r="BD36" s="190"/>
      <c r="BE36" s="190"/>
      <c r="BF36" s="190"/>
      <c r="BG36" s="190"/>
      <c r="BH36" s="190"/>
      <c r="BI36" s="190"/>
    </row>
    <row r="37" spans="1:61" x14ac:dyDescent="0.2">
      <c r="A37" s="190"/>
      <c r="B37" s="190"/>
      <c r="C37" s="190"/>
      <c r="D37" s="190"/>
      <c r="E37" s="190"/>
      <c r="F37" s="190"/>
      <c r="G37" s="190"/>
      <c r="H37" s="190"/>
      <c r="I37" s="190"/>
      <c r="J37" s="190"/>
      <c r="K37" s="190"/>
      <c r="L37" s="190"/>
      <c r="M37" s="190"/>
      <c r="N37" s="190"/>
      <c r="O37" s="190"/>
      <c r="P37" s="190"/>
      <c r="Q37" s="190"/>
      <c r="R37" s="190"/>
      <c r="S37" s="190"/>
      <c r="T37" s="190"/>
      <c r="U37" s="190"/>
      <c r="V37" s="190"/>
      <c r="W37" s="190"/>
      <c r="X37" s="190"/>
      <c r="Y37" s="190"/>
      <c r="Z37" s="190"/>
      <c r="AA37" s="190"/>
      <c r="AB37" s="190"/>
      <c r="AC37" s="190"/>
      <c r="AD37" s="190"/>
      <c r="AE37" s="190"/>
      <c r="AF37" s="190"/>
      <c r="AG37" s="190"/>
      <c r="AH37" s="190"/>
      <c r="AI37" s="190"/>
      <c r="AJ37" s="190"/>
      <c r="AK37" s="190"/>
      <c r="AL37" s="190"/>
      <c r="AM37" s="190"/>
      <c r="AN37" s="190"/>
      <c r="AO37" s="190"/>
      <c r="AP37" s="190"/>
      <c r="AQ37" s="190"/>
      <c r="AR37" s="190"/>
      <c r="AS37" s="190"/>
      <c r="AT37" s="190"/>
      <c r="AU37" s="190"/>
      <c r="AV37" s="190"/>
      <c r="AW37" s="190"/>
      <c r="AX37" s="190"/>
      <c r="AY37" s="190"/>
      <c r="AZ37" s="190"/>
      <c r="BA37" s="190"/>
      <c r="BB37" s="190"/>
      <c r="BC37" s="190"/>
      <c r="BD37" s="190"/>
      <c r="BE37" s="190"/>
      <c r="BF37" s="190"/>
      <c r="BG37" s="190"/>
      <c r="BH37" s="190"/>
      <c r="BI37" s="190"/>
    </row>
    <row r="38" spans="1:61" x14ac:dyDescent="0.2">
      <c r="A38" s="190"/>
      <c r="B38" s="190"/>
      <c r="C38" s="190"/>
      <c r="D38" s="190"/>
      <c r="E38" s="190"/>
      <c r="F38" s="190"/>
      <c r="G38" s="190"/>
      <c r="H38" s="190"/>
      <c r="I38" s="190"/>
      <c r="J38" s="190"/>
      <c r="K38" s="190"/>
      <c r="L38" s="190"/>
      <c r="M38" s="190"/>
      <c r="N38" s="190"/>
      <c r="O38" s="190"/>
      <c r="P38" s="190"/>
      <c r="Q38" s="190"/>
      <c r="R38" s="190"/>
      <c r="S38" s="190"/>
      <c r="T38" s="190"/>
      <c r="U38" s="190"/>
      <c r="V38" s="190"/>
      <c r="W38" s="190"/>
      <c r="X38" s="190"/>
      <c r="Y38" s="190"/>
      <c r="Z38" s="190"/>
      <c r="AA38" s="190"/>
      <c r="AB38" s="190"/>
      <c r="AC38" s="190"/>
      <c r="AD38" s="190"/>
      <c r="AE38" s="190"/>
      <c r="AF38" s="190"/>
      <c r="AG38" s="190"/>
      <c r="AH38" s="190"/>
      <c r="AI38" s="190"/>
      <c r="AJ38" s="190"/>
      <c r="AK38" s="190"/>
      <c r="AL38" s="190"/>
      <c r="AM38" s="190"/>
      <c r="AN38" s="190"/>
      <c r="AO38" s="190"/>
      <c r="AP38" s="190"/>
      <c r="AQ38" s="190"/>
      <c r="AR38" s="190"/>
      <c r="AS38" s="190"/>
      <c r="AT38" s="190"/>
      <c r="AU38" s="190"/>
      <c r="AV38" s="190"/>
      <c r="AW38" s="190"/>
      <c r="AX38" s="190"/>
      <c r="AY38" s="190"/>
      <c r="AZ38" s="190"/>
      <c r="BA38" s="190"/>
      <c r="BB38" s="190"/>
      <c r="BC38" s="190"/>
      <c r="BD38" s="190"/>
      <c r="BE38" s="190"/>
      <c r="BF38" s="190"/>
      <c r="BG38" s="190"/>
      <c r="BH38" s="190"/>
      <c r="BI38" s="190"/>
    </row>
    <row r="39" spans="1:61" x14ac:dyDescent="0.2">
      <c r="A39" s="190"/>
      <c r="B39" s="190"/>
      <c r="C39" s="190"/>
      <c r="D39" s="190"/>
      <c r="E39" s="190"/>
      <c r="F39" s="190"/>
      <c r="G39" s="190"/>
      <c r="H39" s="190"/>
      <c r="I39" s="190"/>
      <c r="J39" s="190"/>
      <c r="K39" s="190"/>
      <c r="L39" s="190"/>
      <c r="M39" s="190"/>
      <c r="N39" s="190"/>
      <c r="O39" s="190"/>
      <c r="P39" s="190"/>
      <c r="Q39" s="190"/>
      <c r="R39" s="190"/>
      <c r="S39" s="190"/>
      <c r="T39" s="190"/>
      <c r="U39" s="190"/>
      <c r="V39" s="190"/>
      <c r="W39" s="190"/>
      <c r="X39" s="190"/>
      <c r="Y39" s="190"/>
      <c r="Z39" s="190"/>
      <c r="AA39" s="190"/>
      <c r="AB39" s="190"/>
      <c r="AC39" s="190"/>
      <c r="AD39" s="190"/>
      <c r="AE39" s="190"/>
      <c r="AF39" s="190"/>
      <c r="AG39" s="190"/>
      <c r="AH39" s="190"/>
      <c r="AI39" s="190"/>
      <c r="AJ39" s="190"/>
      <c r="AK39" s="190"/>
      <c r="AL39" s="190"/>
      <c r="AM39" s="190"/>
      <c r="AN39" s="190"/>
      <c r="AO39" s="190"/>
      <c r="AP39" s="190"/>
      <c r="AQ39" s="190"/>
      <c r="AR39" s="190"/>
      <c r="AS39" s="190"/>
      <c r="AT39" s="190"/>
      <c r="AU39" s="190"/>
      <c r="AV39" s="190"/>
      <c r="AW39" s="190"/>
      <c r="AX39" s="190"/>
      <c r="AY39" s="190"/>
      <c r="AZ39" s="190"/>
      <c r="BA39" s="190"/>
      <c r="BB39" s="190"/>
      <c r="BC39" s="190"/>
      <c r="BD39" s="190"/>
      <c r="BE39" s="190"/>
      <c r="BF39" s="190"/>
      <c r="BG39" s="190"/>
      <c r="BH39" s="190"/>
      <c r="BI39" s="190"/>
    </row>
    <row r="40" spans="1:61" x14ac:dyDescent="0.2">
      <c r="A40" s="190"/>
      <c r="B40" s="190"/>
      <c r="C40" s="190"/>
      <c r="D40" s="190"/>
      <c r="E40" s="190"/>
      <c r="F40" s="190"/>
      <c r="G40" s="190"/>
      <c r="H40" s="190"/>
      <c r="I40" s="190"/>
      <c r="J40" s="190"/>
      <c r="K40" s="190"/>
      <c r="L40" s="190"/>
      <c r="M40" s="190"/>
      <c r="N40" s="190"/>
      <c r="O40" s="190"/>
      <c r="P40" s="190"/>
      <c r="Q40" s="190"/>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P40" s="190"/>
      <c r="AQ40" s="190"/>
      <c r="AR40" s="190"/>
      <c r="AS40" s="190"/>
      <c r="AT40" s="190"/>
      <c r="AU40" s="190"/>
      <c r="AV40" s="190"/>
      <c r="AW40" s="190"/>
      <c r="AX40" s="190"/>
      <c r="AY40" s="190"/>
      <c r="AZ40" s="190"/>
      <c r="BA40" s="190"/>
      <c r="BB40" s="190"/>
      <c r="BC40" s="190"/>
      <c r="BD40" s="190"/>
      <c r="BE40" s="190"/>
      <c r="BF40" s="190"/>
      <c r="BG40" s="190"/>
      <c r="BH40" s="190"/>
      <c r="BI40" s="190"/>
    </row>
    <row r="41" spans="1:61" x14ac:dyDescent="0.2">
      <c r="A41" s="190"/>
      <c r="B41" s="190"/>
      <c r="C41" s="190"/>
      <c r="D41" s="190"/>
      <c r="E41" s="190"/>
      <c r="F41" s="190"/>
      <c r="G41" s="190"/>
      <c r="H41" s="190"/>
      <c r="I41" s="190"/>
      <c r="J41" s="190"/>
      <c r="K41" s="190"/>
      <c r="L41" s="190"/>
      <c r="M41" s="190"/>
      <c r="N41" s="190"/>
      <c r="O41" s="190"/>
      <c r="P41" s="190"/>
      <c r="Q41" s="190"/>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P41" s="190"/>
      <c r="AQ41" s="190"/>
      <c r="AR41" s="190"/>
      <c r="AS41" s="190"/>
      <c r="AT41" s="190"/>
      <c r="AU41" s="190"/>
      <c r="AV41" s="190"/>
      <c r="AW41" s="190"/>
      <c r="AX41" s="190"/>
      <c r="AY41" s="190"/>
      <c r="AZ41" s="190"/>
      <c r="BA41" s="190"/>
      <c r="BB41" s="190"/>
      <c r="BC41" s="190"/>
      <c r="BD41" s="190"/>
      <c r="BE41" s="190"/>
      <c r="BF41" s="190"/>
      <c r="BG41" s="190"/>
      <c r="BH41" s="190"/>
      <c r="BI41" s="190"/>
    </row>
    <row r="42" spans="1:61" x14ac:dyDescent="0.2">
      <c r="A42" s="190"/>
      <c r="B42" s="190"/>
      <c r="C42" s="190"/>
      <c r="D42" s="190"/>
      <c r="E42" s="190"/>
      <c r="F42" s="190"/>
      <c r="G42" s="190"/>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0"/>
      <c r="AY42" s="190"/>
      <c r="AZ42" s="190"/>
      <c r="BA42" s="190"/>
      <c r="BB42" s="190"/>
      <c r="BC42" s="190"/>
      <c r="BD42" s="190"/>
      <c r="BE42" s="190"/>
      <c r="BF42" s="190"/>
      <c r="BG42" s="190"/>
      <c r="BH42" s="190"/>
      <c r="BI42" s="190"/>
    </row>
    <row r="43" spans="1:61" x14ac:dyDescent="0.2">
      <c r="A43" s="190"/>
      <c r="B43" s="190"/>
      <c r="C43" s="190"/>
      <c r="D43" s="190"/>
      <c r="E43" s="190"/>
      <c r="F43" s="190"/>
      <c r="G43" s="190"/>
      <c r="H43" s="190"/>
      <c r="I43" s="190"/>
      <c r="J43" s="190"/>
      <c r="K43" s="190"/>
      <c r="L43" s="190"/>
      <c r="M43" s="190"/>
      <c r="N43" s="190"/>
      <c r="O43" s="190"/>
      <c r="P43" s="190"/>
      <c r="Q43" s="190"/>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AP43" s="190"/>
      <c r="AQ43" s="190"/>
      <c r="AR43" s="190"/>
      <c r="AS43" s="190"/>
      <c r="AT43" s="190"/>
      <c r="AU43" s="190"/>
      <c r="AV43" s="190"/>
      <c r="AW43" s="190"/>
      <c r="AX43" s="190"/>
      <c r="AY43" s="190"/>
      <c r="AZ43" s="190"/>
      <c r="BA43" s="190"/>
      <c r="BB43" s="190"/>
      <c r="BC43" s="190"/>
      <c r="BD43" s="190"/>
      <c r="BE43" s="190"/>
      <c r="BF43" s="190"/>
      <c r="BG43" s="190"/>
      <c r="BH43" s="190"/>
      <c r="BI43" s="190"/>
    </row>
    <row r="44" spans="1:61" x14ac:dyDescent="0.2">
      <c r="A44" s="190"/>
      <c r="B44" s="190"/>
      <c r="C44" s="190"/>
      <c r="D44" s="190"/>
      <c r="E44" s="190"/>
      <c r="F44" s="190"/>
      <c r="G44" s="190"/>
      <c r="H44" s="190"/>
      <c r="I44" s="190"/>
      <c r="J44" s="190"/>
      <c r="K44" s="190"/>
      <c r="L44" s="190"/>
      <c r="M44" s="190"/>
      <c r="N44" s="190"/>
      <c r="O44" s="190"/>
      <c r="P44" s="190"/>
      <c r="Q44" s="190"/>
      <c r="R44" s="190"/>
      <c r="S44" s="190"/>
      <c r="T44" s="190"/>
      <c r="U44" s="190"/>
      <c r="V44" s="190"/>
      <c r="W44" s="190"/>
      <c r="X44" s="190"/>
      <c r="Y44" s="190"/>
      <c r="Z44" s="190"/>
      <c r="AA44" s="190"/>
      <c r="AB44" s="190"/>
      <c r="AC44" s="190"/>
      <c r="AD44" s="190"/>
      <c r="AE44" s="190"/>
      <c r="AF44" s="190"/>
      <c r="AG44" s="190"/>
      <c r="AH44" s="190"/>
      <c r="AI44" s="190"/>
      <c r="AJ44" s="190"/>
      <c r="AK44" s="190"/>
      <c r="AL44" s="190"/>
      <c r="AM44" s="190"/>
      <c r="AN44" s="190"/>
      <c r="AO44" s="190"/>
      <c r="AP44" s="190"/>
      <c r="AQ44" s="190"/>
      <c r="AR44" s="190"/>
      <c r="AS44" s="190"/>
      <c r="AT44" s="190"/>
      <c r="AU44" s="190"/>
      <c r="AV44" s="190"/>
      <c r="AW44" s="190"/>
      <c r="AX44" s="190"/>
      <c r="AY44" s="190"/>
      <c r="AZ44" s="190"/>
      <c r="BA44" s="190"/>
      <c r="BB44" s="190"/>
      <c r="BC44" s="190"/>
      <c r="BD44" s="190"/>
      <c r="BE44" s="190"/>
      <c r="BF44" s="190"/>
      <c r="BG44" s="190"/>
      <c r="BH44" s="190"/>
      <c r="BI44" s="190"/>
    </row>
    <row r="45" spans="1:61" x14ac:dyDescent="0.2">
      <c r="A45" s="190"/>
      <c r="B45" s="190"/>
      <c r="C45" s="190"/>
      <c r="D45" s="190"/>
      <c r="E45" s="190"/>
      <c r="F45" s="190"/>
      <c r="G45" s="190"/>
      <c r="H45" s="190"/>
      <c r="I45" s="190"/>
      <c r="J45" s="190"/>
      <c r="K45" s="190"/>
      <c r="L45" s="190"/>
      <c r="M45" s="190"/>
      <c r="N45" s="190"/>
      <c r="O45" s="190"/>
      <c r="P45" s="190"/>
      <c r="Q45" s="190"/>
      <c r="R45" s="190"/>
      <c r="S45" s="190"/>
      <c r="T45" s="190"/>
      <c r="U45" s="190"/>
      <c r="V45" s="190"/>
      <c r="W45" s="190"/>
      <c r="X45" s="190"/>
      <c r="Y45" s="190"/>
      <c r="Z45" s="190"/>
      <c r="AA45" s="190"/>
      <c r="AB45" s="190"/>
      <c r="AC45" s="190"/>
      <c r="AD45" s="190"/>
      <c r="AE45" s="190"/>
      <c r="AF45" s="190"/>
      <c r="AG45" s="190"/>
      <c r="AH45" s="190"/>
      <c r="AI45" s="190"/>
      <c r="AJ45" s="190"/>
      <c r="AK45" s="190"/>
      <c r="AL45" s="190"/>
      <c r="AM45" s="190"/>
      <c r="AN45" s="190"/>
      <c r="AO45" s="190"/>
      <c r="AP45" s="190"/>
      <c r="AQ45" s="190"/>
      <c r="AR45" s="190"/>
      <c r="AS45" s="190"/>
      <c r="AT45" s="190"/>
      <c r="AU45" s="190"/>
      <c r="AV45" s="190"/>
      <c r="AW45" s="190"/>
      <c r="AX45" s="190"/>
      <c r="AY45" s="190"/>
      <c r="AZ45" s="190"/>
      <c r="BA45" s="190"/>
      <c r="BB45" s="190"/>
      <c r="BC45" s="190"/>
      <c r="BD45" s="190"/>
      <c r="BE45" s="190"/>
      <c r="BF45" s="190"/>
      <c r="BG45" s="190"/>
      <c r="BH45" s="190"/>
      <c r="BI45" s="190"/>
    </row>
    <row r="46" spans="1:61" x14ac:dyDescent="0.2">
      <c r="A46" s="190"/>
      <c r="B46" s="190"/>
      <c r="C46" s="190"/>
      <c r="D46" s="190"/>
      <c r="E46" s="190"/>
      <c r="F46" s="190"/>
      <c r="G46" s="190"/>
      <c r="H46" s="190"/>
      <c r="I46" s="190"/>
      <c r="J46" s="190"/>
      <c r="K46" s="190"/>
      <c r="L46" s="190"/>
      <c r="M46" s="190"/>
      <c r="N46" s="190"/>
      <c r="O46" s="190"/>
      <c r="P46" s="190"/>
      <c r="Q46" s="190"/>
      <c r="R46" s="190"/>
      <c r="S46" s="190"/>
      <c r="T46" s="190"/>
      <c r="U46" s="190"/>
      <c r="V46" s="190"/>
      <c r="W46" s="190"/>
      <c r="X46" s="190"/>
      <c r="Y46" s="190"/>
      <c r="Z46" s="190"/>
      <c r="AA46" s="190"/>
      <c r="AB46" s="190"/>
      <c r="AC46" s="190"/>
      <c r="AD46" s="190"/>
      <c r="AE46" s="190"/>
      <c r="AF46" s="190"/>
      <c r="AG46" s="190"/>
      <c r="AH46" s="190"/>
      <c r="AI46" s="190"/>
      <c r="AJ46" s="190"/>
      <c r="AK46" s="190"/>
      <c r="AL46" s="190"/>
      <c r="AM46" s="190"/>
      <c r="AN46" s="190"/>
      <c r="AO46" s="190"/>
      <c r="AP46" s="190"/>
      <c r="AQ46" s="190"/>
      <c r="AR46" s="190"/>
      <c r="AS46" s="190"/>
      <c r="AT46" s="190"/>
      <c r="AU46" s="190"/>
      <c r="AV46" s="190"/>
      <c r="AW46" s="190"/>
      <c r="AX46" s="190"/>
      <c r="AY46" s="190"/>
      <c r="AZ46" s="190"/>
      <c r="BA46" s="190"/>
      <c r="BB46" s="190"/>
      <c r="BC46" s="190"/>
      <c r="BD46" s="190"/>
      <c r="BE46" s="190"/>
      <c r="BF46" s="190"/>
      <c r="BG46" s="190"/>
      <c r="BH46" s="190"/>
      <c r="BI46" s="190"/>
    </row>
    <row r="47" spans="1:61" x14ac:dyDescent="0.2">
      <c r="A47" s="190"/>
      <c r="B47" s="190"/>
      <c r="C47" s="190"/>
      <c r="D47" s="190"/>
      <c r="E47" s="190"/>
      <c r="F47" s="190"/>
      <c r="G47" s="190"/>
      <c r="H47" s="190"/>
      <c r="I47" s="190"/>
      <c r="J47" s="190"/>
      <c r="K47" s="190"/>
      <c r="L47" s="190"/>
      <c r="M47" s="190"/>
      <c r="N47" s="190"/>
      <c r="O47" s="190"/>
      <c r="P47" s="190"/>
      <c r="Q47" s="190"/>
      <c r="R47" s="190"/>
      <c r="S47" s="190"/>
      <c r="T47" s="190"/>
      <c r="U47" s="190"/>
      <c r="V47" s="190"/>
      <c r="W47" s="190"/>
      <c r="X47" s="190"/>
      <c r="Y47" s="190"/>
      <c r="Z47" s="190"/>
      <c r="AA47" s="190"/>
      <c r="AB47" s="190"/>
      <c r="AC47" s="190"/>
      <c r="AD47" s="190"/>
      <c r="AE47" s="190"/>
      <c r="AF47" s="190"/>
      <c r="AG47" s="190"/>
      <c r="AH47" s="190"/>
      <c r="AI47" s="190"/>
      <c r="AJ47" s="190"/>
      <c r="AK47" s="190"/>
      <c r="AL47" s="190"/>
      <c r="AM47" s="190"/>
      <c r="AN47" s="190"/>
      <c r="AO47" s="190"/>
      <c r="AP47" s="190"/>
      <c r="AQ47" s="190"/>
      <c r="AR47" s="190"/>
      <c r="AS47" s="190"/>
      <c r="AT47" s="190"/>
      <c r="AU47" s="190"/>
      <c r="AV47" s="190"/>
      <c r="AW47" s="190"/>
      <c r="AX47" s="190"/>
      <c r="AY47" s="190"/>
      <c r="AZ47" s="190"/>
      <c r="BA47" s="190"/>
      <c r="BB47" s="190"/>
      <c r="BC47" s="190"/>
      <c r="BD47" s="190"/>
      <c r="BE47" s="190"/>
      <c r="BF47" s="190"/>
      <c r="BG47" s="190"/>
      <c r="BH47" s="190"/>
      <c r="BI47" s="190"/>
    </row>
    <row r="48" spans="1:61" x14ac:dyDescent="0.2">
      <c r="A48" s="190"/>
      <c r="B48" s="190"/>
      <c r="C48" s="190"/>
      <c r="D48" s="190"/>
      <c r="E48" s="190"/>
      <c r="F48" s="190"/>
      <c r="G48" s="190"/>
      <c r="H48" s="190"/>
      <c r="I48" s="190"/>
      <c r="J48" s="190"/>
      <c r="K48" s="190"/>
      <c r="L48" s="190"/>
      <c r="M48" s="190"/>
      <c r="N48" s="190"/>
      <c r="O48" s="190"/>
      <c r="P48" s="190"/>
      <c r="Q48" s="190"/>
      <c r="R48" s="190"/>
      <c r="S48" s="190"/>
      <c r="T48" s="190"/>
      <c r="U48" s="190"/>
      <c r="V48" s="190"/>
      <c r="W48" s="190"/>
      <c r="X48" s="190"/>
      <c r="Y48" s="190"/>
      <c r="Z48" s="190"/>
      <c r="AA48" s="190"/>
      <c r="AB48" s="190"/>
      <c r="AC48" s="190"/>
      <c r="AD48" s="190"/>
      <c r="AE48" s="190"/>
      <c r="AF48" s="190"/>
      <c r="AG48" s="190"/>
      <c r="AH48" s="190"/>
      <c r="AI48" s="190"/>
      <c r="AJ48" s="190"/>
      <c r="AK48" s="190"/>
      <c r="AL48" s="190"/>
      <c r="AM48" s="190"/>
      <c r="AN48" s="190"/>
      <c r="AO48" s="190"/>
      <c r="AP48" s="190"/>
      <c r="AQ48" s="190"/>
      <c r="AR48" s="190"/>
      <c r="AS48" s="190"/>
      <c r="AT48" s="190"/>
      <c r="AU48" s="190"/>
      <c r="AV48" s="190"/>
      <c r="AW48" s="190"/>
      <c r="AX48" s="190"/>
      <c r="AY48" s="190"/>
      <c r="AZ48" s="190"/>
      <c r="BA48" s="190"/>
      <c r="BB48" s="190"/>
      <c r="BC48" s="190"/>
      <c r="BD48" s="190"/>
      <c r="BE48" s="190"/>
      <c r="BF48" s="190"/>
      <c r="BG48" s="190"/>
      <c r="BH48" s="190"/>
      <c r="BI48" s="190"/>
    </row>
    <row r="49" spans="1:25" x14ac:dyDescent="0.2">
      <c r="A49" s="190"/>
      <c r="B49" s="190"/>
      <c r="C49" s="190"/>
      <c r="D49" s="190"/>
      <c r="E49" s="190"/>
      <c r="F49" s="190"/>
      <c r="G49" s="190"/>
      <c r="H49" s="190"/>
      <c r="I49" s="190"/>
      <c r="J49" s="190"/>
      <c r="K49" s="190"/>
      <c r="L49" s="190"/>
      <c r="M49" s="190"/>
      <c r="N49" s="190"/>
      <c r="O49" s="190"/>
      <c r="P49" s="190"/>
      <c r="Q49" s="190"/>
      <c r="R49" s="190"/>
      <c r="S49" s="190"/>
      <c r="T49" s="190"/>
      <c r="U49" s="190"/>
      <c r="V49" s="190"/>
      <c r="W49" s="190"/>
      <c r="X49" s="190"/>
      <c r="Y49" s="190"/>
    </row>
    <row r="50" spans="1:25" x14ac:dyDescent="0.2">
      <c r="A50" s="190"/>
      <c r="B50" s="190"/>
      <c r="C50" s="190"/>
      <c r="D50" s="190"/>
      <c r="E50" s="190"/>
      <c r="F50" s="190"/>
      <c r="G50" s="190"/>
      <c r="H50" s="190"/>
      <c r="I50" s="190"/>
      <c r="J50" s="190"/>
      <c r="K50" s="190"/>
      <c r="L50" s="190"/>
      <c r="M50" s="190"/>
      <c r="N50" s="190"/>
      <c r="O50" s="190"/>
      <c r="P50" s="190"/>
      <c r="Q50" s="190"/>
      <c r="R50" s="190"/>
      <c r="S50" s="190"/>
      <c r="T50" s="190"/>
      <c r="U50" s="190"/>
      <c r="V50" s="190"/>
      <c r="W50" s="190"/>
      <c r="X50" s="190"/>
      <c r="Y50" s="190"/>
    </row>
  </sheetData>
  <dataValidations count="1">
    <dataValidation type="list" allowBlank="1" showInputMessage="1" showErrorMessage="1" sqref="B5" xr:uid="{3A326A52-03CA-485E-BF5D-A4909B4F22A5}">
      <formula1>"AED, USD"</formula1>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7EE428-DBC2-4C0E-B1A9-37A83728E83A}">
  <dimension ref="A1:O34"/>
  <sheetViews>
    <sheetView showGridLines="0" zoomScaleNormal="100" workbookViewId="0">
      <selection activeCell="P39" sqref="P39"/>
    </sheetView>
  </sheetViews>
  <sheetFormatPr defaultRowHeight="12.75" x14ac:dyDescent="0.2"/>
  <cols>
    <col min="1" max="6" width="9.140625" style="21"/>
    <col min="7" max="7" width="10" style="21" bestFit="1" customWidth="1"/>
    <col min="8" max="13" width="9.140625" style="21"/>
    <col min="14" max="14" width="10" style="21" bestFit="1" customWidth="1"/>
    <col min="15" max="16384" width="9.140625" style="21"/>
  </cols>
  <sheetData>
    <row r="1" spans="1:14" ht="91.5" customHeight="1" x14ac:dyDescent="0.2">
      <c r="A1" s="189">
        <f>'2022 IR Data Book'!$A$5</f>
        <v>1</v>
      </c>
    </row>
    <row r="2" spans="1:14" ht="15" x14ac:dyDescent="0.2">
      <c r="B2" s="176"/>
    </row>
    <row r="3" spans="1:14" ht="15" x14ac:dyDescent="0.2">
      <c r="B3" s="176"/>
      <c r="C3" s="182" t="s">
        <v>277</v>
      </c>
      <c r="D3" s="181"/>
      <c r="E3" s="181"/>
      <c r="F3" s="181"/>
      <c r="G3" s="181"/>
      <c r="H3" s="181"/>
      <c r="I3" s="181"/>
      <c r="J3" s="181"/>
      <c r="K3" s="181"/>
      <c r="L3" s="181"/>
      <c r="M3" s="181"/>
    </row>
    <row r="4" spans="1:14" x14ac:dyDescent="0.2">
      <c r="B4" s="245" t="s">
        <v>103</v>
      </c>
      <c r="C4" s="245"/>
      <c r="D4" s="245"/>
      <c r="E4" s="245"/>
      <c r="F4" s="245"/>
      <c r="G4" s="245"/>
      <c r="I4" s="245" t="s">
        <v>104</v>
      </c>
      <c r="J4" s="245"/>
      <c r="K4" s="245"/>
      <c r="L4" s="245"/>
      <c r="M4" s="245"/>
      <c r="N4" s="245"/>
    </row>
    <row r="6" spans="1:14" x14ac:dyDescent="0.2">
      <c r="B6" s="21" t="s">
        <v>265</v>
      </c>
      <c r="G6" s="29">
        <f>5068145*('2022 IR Data Book'!$A$5)</f>
        <v>5068145</v>
      </c>
      <c r="J6" s="21" t="str">
        <f>B6</f>
        <v xml:space="preserve">Total Revenues </v>
      </c>
      <c r="N6" s="29">
        <f>G6</f>
        <v>5068145</v>
      </c>
    </row>
    <row r="7" spans="1:14" x14ac:dyDescent="0.2">
      <c r="B7" s="21" t="s">
        <v>268</v>
      </c>
      <c r="G7" s="29">
        <f>(-2488576)*('2022 IR Data Book'!$A$5)</f>
        <v>-2488576</v>
      </c>
      <c r="J7" s="177" t="s">
        <v>268</v>
      </c>
      <c r="K7" s="178"/>
      <c r="L7" s="178"/>
      <c r="M7" s="178"/>
      <c r="N7" s="29">
        <f>G7+G10</f>
        <v>-3412693</v>
      </c>
    </row>
    <row r="8" spans="1:14" x14ac:dyDescent="0.2">
      <c r="B8" s="21" t="s">
        <v>64</v>
      </c>
      <c r="G8" s="29">
        <f>G6+G7</f>
        <v>2579569</v>
      </c>
      <c r="J8" s="21" t="str">
        <f>B8</f>
        <v>Gross Profit</v>
      </c>
      <c r="N8" s="29">
        <f>N6+N7</f>
        <v>1655452</v>
      </c>
    </row>
    <row r="9" spans="1:14" s="74" customFormat="1" x14ac:dyDescent="0.2">
      <c r="B9" s="74" t="s">
        <v>279</v>
      </c>
      <c r="G9" s="203">
        <f>G8/G6</f>
        <v>0.50897695310611668</v>
      </c>
      <c r="J9" s="74" t="s">
        <v>279</v>
      </c>
      <c r="N9" s="203">
        <f>N8/N6</f>
        <v>0.32663864194887871</v>
      </c>
    </row>
    <row r="10" spans="1:14" x14ac:dyDescent="0.2">
      <c r="B10" s="177" t="s">
        <v>266</v>
      </c>
      <c r="C10" s="178"/>
      <c r="D10" s="178"/>
      <c r="E10" s="178"/>
      <c r="F10" s="179"/>
      <c r="G10" s="29">
        <f>(-924117)*('2022 IR Data Book'!$A$5)</f>
        <v>-924117</v>
      </c>
      <c r="N10" s="29"/>
    </row>
    <row r="11" spans="1:14" x14ac:dyDescent="0.2">
      <c r="B11" s="21" t="s">
        <v>267</v>
      </c>
      <c r="G11" s="29">
        <f>(-822351-193652)*('2022 IR Data Book'!$A$5)</f>
        <v>-1016003</v>
      </c>
      <c r="J11" s="21" t="str">
        <f>B11</f>
        <v>Less: SG&amp;A Expenses</v>
      </c>
      <c r="N11" s="29">
        <f>G11</f>
        <v>-1016003</v>
      </c>
    </row>
    <row r="12" spans="1:14" x14ac:dyDescent="0.2">
      <c r="B12" s="21" t="s">
        <v>271</v>
      </c>
      <c r="G12" s="29">
        <f>-24783*('2022 IR Data Book'!$A$5)</f>
        <v>-24783</v>
      </c>
      <c r="J12" s="21" t="str">
        <f>B12</f>
        <v xml:space="preserve">Net impairment loss on account receivables </v>
      </c>
      <c r="N12" s="29">
        <f>G12</f>
        <v>-24783</v>
      </c>
    </row>
    <row r="13" spans="1:14" x14ac:dyDescent="0.2">
      <c r="B13" s="21" t="s">
        <v>270</v>
      </c>
      <c r="G13" s="29"/>
      <c r="J13" s="21" t="str">
        <f>B13</f>
        <v xml:space="preserve">Net impairment loss on bank balances </v>
      </c>
      <c r="N13" s="29"/>
    </row>
    <row r="14" spans="1:14" x14ac:dyDescent="0.2">
      <c r="B14" s="21" t="s">
        <v>272</v>
      </c>
      <c r="G14" s="29">
        <f>(5012)*('2022 IR Data Book'!$A$5)</f>
        <v>5012</v>
      </c>
      <c r="J14" s="21" t="str">
        <f>B14</f>
        <v xml:space="preserve">Other income /Expense </v>
      </c>
      <c r="N14" s="29">
        <f>G14</f>
        <v>5012</v>
      </c>
    </row>
    <row r="15" spans="1:14" x14ac:dyDescent="0.2">
      <c r="B15" s="21" t="s">
        <v>269</v>
      </c>
      <c r="G15" s="29">
        <f>G8+G10+G11+G12+G14</f>
        <v>619678</v>
      </c>
      <c r="J15" s="21" t="str">
        <f>B15</f>
        <v xml:space="preserve">Operating Profit </v>
      </c>
      <c r="N15" s="29">
        <f>N8+N10+N11+N12+N14</f>
        <v>619678</v>
      </c>
    </row>
    <row r="16" spans="1:14" x14ac:dyDescent="0.2">
      <c r="G16" s="29"/>
    </row>
    <row r="18" spans="1:15" ht="13.5" thickBot="1" x14ac:dyDescent="0.25">
      <c r="A18" s="180"/>
      <c r="B18" s="180"/>
      <c r="C18" s="180"/>
      <c r="D18" s="180"/>
      <c r="E18" s="180"/>
      <c r="F18" s="180"/>
      <c r="G18" s="180"/>
      <c r="H18" s="180"/>
      <c r="I18" s="180"/>
      <c r="J18" s="180"/>
      <c r="K18" s="180"/>
      <c r="L18" s="180"/>
      <c r="M18" s="180"/>
      <c r="N18" s="180"/>
      <c r="O18" s="180"/>
    </row>
    <row r="21" spans="1:15" ht="15" x14ac:dyDescent="0.2">
      <c r="B21" s="176"/>
      <c r="C21" s="182" t="s">
        <v>278</v>
      </c>
      <c r="D21" s="182"/>
      <c r="E21" s="182"/>
      <c r="F21" s="182"/>
      <c r="G21" s="182"/>
      <c r="H21" s="182"/>
      <c r="I21" s="182"/>
      <c r="J21" s="182"/>
      <c r="K21" s="182"/>
      <c r="L21" s="182"/>
      <c r="M21" s="182"/>
    </row>
    <row r="22" spans="1:15" x14ac:dyDescent="0.2">
      <c r="B22" s="245" t="s">
        <v>103</v>
      </c>
      <c r="C22" s="245"/>
      <c r="D22" s="245"/>
      <c r="E22" s="245"/>
      <c r="F22" s="245"/>
      <c r="G22" s="245"/>
      <c r="I22" s="245" t="s">
        <v>104</v>
      </c>
      <c r="J22" s="245"/>
      <c r="K22" s="245"/>
      <c r="L22" s="245"/>
      <c r="M22" s="245"/>
      <c r="N22" s="245"/>
    </row>
    <row r="24" spans="1:15" x14ac:dyDescent="0.2">
      <c r="B24" s="21" t="s">
        <v>265</v>
      </c>
      <c r="G24" s="29">
        <f>5510299*('2022 IR Data Book'!$A$5)</f>
        <v>5510299</v>
      </c>
      <c r="J24" s="21" t="str">
        <f>B24</f>
        <v xml:space="preserve">Total Revenues </v>
      </c>
      <c r="N24" s="29">
        <f>G24</f>
        <v>5510299</v>
      </c>
    </row>
    <row r="25" spans="1:15" x14ac:dyDescent="0.2">
      <c r="B25" s="21" t="s">
        <v>268</v>
      </c>
      <c r="G25" s="29">
        <f>-2958821.53980779*('2022 IR Data Book'!$A$5)</f>
        <v>-2958821.53980779</v>
      </c>
      <c r="J25" s="177" t="s">
        <v>268</v>
      </c>
      <c r="K25" s="178"/>
      <c r="L25" s="178"/>
      <c r="M25" s="178"/>
      <c r="N25" s="29">
        <f>G25+G28</f>
        <v>-3976508</v>
      </c>
    </row>
    <row r="26" spans="1:15" x14ac:dyDescent="0.2">
      <c r="B26" s="21" t="s">
        <v>64</v>
      </c>
      <c r="G26" s="29">
        <f>G24+G25</f>
        <v>2551477.46019221</v>
      </c>
      <c r="J26" s="21" t="str">
        <f>B26</f>
        <v>Gross Profit</v>
      </c>
      <c r="N26" s="29">
        <f>N24+N25</f>
        <v>1533791</v>
      </c>
    </row>
    <row r="27" spans="1:15" s="74" customFormat="1" x14ac:dyDescent="0.2">
      <c r="B27" s="74" t="s">
        <v>279</v>
      </c>
      <c r="G27" s="203">
        <f>G26/G24</f>
        <v>0.46303793318515202</v>
      </c>
      <c r="J27" s="74" t="s">
        <v>279</v>
      </c>
      <c r="N27" s="203">
        <f>N26/N24</f>
        <v>0.27834986812875306</v>
      </c>
    </row>
    <row r="28" spans="1:15" x14ac:dyDescent="0.2">
      <c r="B28" s="177" t="s">
        <v>266</v>
      </c>
      <c r="C28" s="178"/>
      <c r="D28" s="178"/>
      <c r="E28" s="178"/>
      <c r="F28" s="179"/>
      <c r="G28" s="29">
        <f>-1017686.46019221*('2022 IR Data Book'!$A$5)</f>
        <v>-1017686.46019221</v>
      </c>
      <c r="N28" s="29"/>
    </row>
    <row r="29" spans="1:15" x14ac:dyDescent="0.2">
      <c r="B29" s="21" t="s">
        <v>267</v>
      </c>
      <c r="G29" s="29">
        <f>(-220668-791926)*('2022 IR Data Book'!$A$5)</f>
        <v>-1012594</v>
      </c>
      <c r="J29" s="21" t="str">
        <f>B29</f>
        <v>Less: SG&amp;A Expenses</v>
      </c>
      <c r="N29" s="29">
        <f>G29</f>
        <v>-1012594</v>
      </c>
    </row>
    <row r="30" spans="1:15" x14ac:dyDescent="0.2">
      <c r="B30" s="84" t="s">
        <v>271</v>
      </c>
      <c r="G30" s="29">
        <f>-25319*('2022 IR Data Book'!$A$5)</f>
        <v>-25319</v>
      </c>
      <c r="J30" s="21" t="str">
        <f>B30</f>
        <v xml:space="preserve">Net impairment loss on account receivables </v>
      </c>
      <c r="N30" s="29">
        <f>G30</f>
        <v>-25319</v>
      </c>
    </row>
    <row r="31" spans="1:15" x14ac:dyDescent="0.2">
      <c r="B31" s="84" t="s">
        <v>270</v>
      </c>
      <c r="G31" s="29">
        <f>-21301*('2022 IR Data Book'!$A$5)</f>
        <v>-21301</v>
      </c>
      <c r="J31" s="21" t="str">
        <f>B31</f>
        <v xml:space="preserve">Net impairment loss on bank balances </v>
      </c>
      <c r="N31" s="29">
        <f>G31</f>
        <v>-21301</v>
      </c>
    </row>
    <row r="32" spans="1:15" x14ac:dyDescent="0.2">
      <c r="B32" s="21" t="s">
        <v>272</v>
      </c>
      <c r="G32" s="29">
        <f>(-89611+14582)*('2022 IR Data Book'!$A$5)</f>
        <v>-75029</v>
      </c>
      <c r="J32" s="21" t="str">
        <f>B32</f>
        <v xml:space="preserve">Other income /Expense </v>
      </c>
      <c r="N32" s="29">
        <f>G32</f>
        <v>-75029</v>
      </c>
    </row>
    <row r="33" spans="2:14" x14ac:dyDescent="0.2">
      <c r="B33" s="21" t="s">
        <v>269</v>
      </c>
      <c r="G33" s="29">
        <f>G26+G28+G29+G30+G32+G31</f>
        <v>399548</v>
      </c>
      <c r="J33" s="21" t="str">
        <f>B33</f>
        <v xml:space="preserve">Operating Profit </v>
      </c>
      <c r="N33" s="29">
        <f>N26+N28+N29+N30+N32+N31</f>
        <v>399548</v>
      </c>
    </row>
    <row r="34" spans="2:14" x14ac:dyDescent="0.2">
      <c r="G34" s="29"/>
    </row>
  </sheetData>
  <mergeCells count="4">
    <mergeCell ref="B22:G22"/>
    <mergeCell ref="I22:N22"/>
    <mergeCell ref="B4:G4"/>
    <mergeCell ref="I4:N4"/>
  </mergeCells>
  <pageMargins left="0.7" right="0.7" top="0.75" bottom="0.75" header="0.3" footer="0.3"/>
  <pageSetup paperSize="9" scale="46"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A06245-B883-4CA8-9EF0-15ADEE571A91}">
  <dimension ref="A1:N73"/>
  <sheetViews>
    <sheetView showGridLines="0" zoomScaleNormal="100" workbookViewId="0">
      <pane xSplit="2" ySplit="6" topLeftCell="C43" activePane="bottomRight" state="frozen"/>
      <selection activeCell="P28" sqref="P28"/>
      <selection pane="topRight" activeCell="P28" sqref="P28"/>
      <selection pane="bottomLeft" activeCell="P28" sqref="P28"/>
      <selection pane="bottomRight" activeCell="K63" sqref="K63"/>
    </sheetView>
  </sheetViews>
  <sheetFormatPr defaultRowHeight="12.75" x14ac:dyDescent="0.2"/>
  <cols>
    <col min="1" max="1" width="3.42578125" style="21" customWidth="1"/>
    <col min="2" max="2" width="13.7109375" style="21" customWidth="1"/>
    <col min="3" max="7" width="15.140625" style="21" customWidth="1"/>
    <col min="8" max="8" width="9.140625" style="21"/>
    <col min="9" max="9" width="13.85546875" style="21" customWidth="1"/>
    <col min="10" max="14" width="13.5703125" style="21" customWidth="1"/>
    <col min="15" max="16384" width="9.140625" style="21"/>
  </cols>
  <sheetData>
    <row r="1" spans="1:14" x14ac:dyDescent="0.2">
      <c r="A1" s="189">
        <f>'2022 IR Data Book'!$A$5</f>
        <v>1</v>
      </c>
    </row>
    <row r="2" spans="1:14" ht="15" x14ac:dyDescent="0.25">
      <c r="C2" s="130" t="s">
        <v>250</v>
      </c>
    </row>
    <row r="3" spans="1:14" ht="15" x14ac:dyDescent="0.25">
      <c r="C3" s="130"/>
    </row>
    <row r="4" spans="1:14" x14ac:dyDescent="0.2">
      <c r="B4" s="131"/>
    </row>
    <row r="5" spans="1:14" x14ac:dyDescent="0.2">
      <c r="B5" s="132"/>
      <c r="C5" s="246" t="s">
        <v>44</v>
      </c>
      <c r="D5" s="246"/>
      <c r="E5" s="246"/>
      <c r="F5" s="246"/>
      <c r="G5" s="246"/>
      <c r="I5" s="132"/>
      <c r="J5" s="246" t="s">
        <v>43</v>
      </c>
      <c r="K5" s="246"/>
      <c r="L5" s="246"/>
      <c r="M5" s="246"/>
      <c r="N5" s="246"/>
    </row>
    <row r="6" spans="1:14" x14ac:dyDescent="0.2">
      <c r="B6" s="132"/>
      <c r="C6" s="145" t="s">
        <v>37</v>
      </c>
      <c r="D6" s="145" t="s">
        <v>35</v>
      </c>
      <c r="E6" s="145" t="s">
        <v>38</v>
      </c>
      <c r="F6" s="145" t="s">
        <v>39</v>
      </c>
      <c r="G6" s="145" t="s">
        <v>0</v>
      </c>
      <c r="I6" s="132"/>
      <c r="J6" s="145" t="s">
        <v>37</v>
      </c>
      <c r="K6" s="145" t="s">
        <v>35</v>
      </c>
      <c r="L6" s="145" t="s">
        <v>38</v>
      </c>
      <c r="M6" s="145" t="s">
        <v>39</v>
      </c>
      <c r="N6" s="145" t="s">
        <v>0</v>
      </c>
    </row>
    <row r="7" spans="1:14" x14ac:dyDescent="0.2">
      <c r="B7" s="61" t="s">
        <v>40</v>
      </c>
      <c r="C7" s="133">
        <f>'Aramex Courier'!C7</f>
        <v>1002142.34808517</v>
      </c>
      <c r="D7" s="133">
        <f>'Aramex Freight'!C7</f>
        <v>288280.57594077598</v>
      </c>
      <c r="E7" s="133">
        <f>'Aramex Logistics'!C7</f>
        <v>104585.74155784999</v>
      </c>
      <c r="F7" s="133">
        <f>29924.5277420579*('2022 IR Data Book'!$A$5)</f>
        <v>29924.5277420579</v>
      </c>
      <c r="G7" s="133">
        <f>SUM(C7:F7)</f>
        <v>1424933.1933258539</v>
      </c>
      <c r="I7" s="61" t="s">
        <v>40</v>
      </c>
      <c r="J7" s="133">
        <f>768414.063708547*('2022 IR Data Book'!$A$5)</f>
        <v>768414.06370854704</v>
      </c>
      <c r="K7" s="133">
        <f>262436.900433545*('2022 IR Data Book'!$A$5)</f>
        <v>262436.900433545</v>
      </c>
      <c r="L7" s="133">
        <f>95044.3885739144*('2022 IR Data Book'!$A$5)</f>
        <v>95044.388573914403</v>
      </c>
      <c r="M7" s="133">
        <f>25748.7833390512*('2022 IR Data Book'!$A$5)</f>
        <v>25748.783339051199</v>
      </c>
      <c r="N7" s="133">
        <f>SUM(J7:M7)</f>
        <v>1151644.1360550576</v>
      </c>
    </row>
    <row r="8" spans="1:14" x14ac:dyDescent="0.2">
      <c r="B8" s="62" t="s">
        <v>41</v>
      </c>
      <c r="C8" s="134">
        <f>'Aramex Courier'!C10</f>
        <v>285114.34617793805</v>
      </c>
      <c r="D8" s="134">
        <f>'Aramex Freight'!C9</f>
        <v>36832.960462398973</v>
      </c>
      <c r="E8" s="134">
        <f>'Aramex Logistics'!C9</f>
        <v>18031.788640835293</v>
      </c>
      <c r="F8" s="134">
        <f>18667.8494106557*('2022 IR Data Book'!$A$5)</f>
        <v>18667.849410655701</v>
      </c>
      <c r="G8" s="134">
        <f>SUM(C8:F8)</f>
        <v>358646.94469182799</v>
      </c>
      <c r="I8" s="62" t="s">
        <v>41</v>
      </c>
      <c r="J8" s="134">
        <f>264108*('2022 IR Data Book'!$A$5)</f>
        <v>264108</v>
      </c>
      <c r="K8" s="134">
        <f>51693*('2022 IR Data Book'!$A$5)</f>
        <v>51693</v>
      </c>
      <c r="L8" s="134">
        <f>17857*('2022 IR Data Book'!$A$5)</f>
        <v>17857</v>
      </c>
      <c r="M8" s="134">
        <f>16690*('2022 IR Data Book'!$A$5)</f>
        <v>16690</v>
      </c>
      <c r="N8" s="134">
        <f>SUM(J8:M8)</f>
        <v>350348</v>
      </c>
    </row>
    <row r="9" spans="1:14" x14ac:dyDescent="0.2">
      <c r="B9" s="63" t="s">
        <v>78</v>
      </c>
      <c r="C9" s="184">
        <f>C8/C7</f>
        <v>0.28450483778349095</v>
      </c>
      <c r="D9" s="184">
        <f t="shared" ref="D9:G9" si="0">D8/D7</f>
        <v>0.12776774967303345</v>
      </c>
      <c r="E9" s="184">
        <f t="shared" si="0"/>
        <v>0.17241153882206101</v>
      </c>
      <c r="F9" s="184">
        <f t="shared" si="0"/>
        <v>0.62383104493972275</v>
      </c>
      <c r="G9" s="185">
        <f t="shared" si="0"/>
        <v>0.25169386633118634</v>
      </c>
      <c r="I9" s="63" t="s">
        <v>78</v>
      </c>
      <c r="J9" s="184">
        <f>J8/J7</f>
        <v>0.34370531784042663</v>
      </c>
      <c r="K9" s="184">
        <f t="shared" ref="K9:N9" si="1">K8/K7</f>
        <v>0.19697306253275859</v>
      </c>
      <c r="L9" s="184">
        <f t="shared" si="1"/>
        <v>0.18788063417455639</v>
      </c>
      <c r="M9" s="184">
        <f t="shared" si="1"/>
        <v>0.64818596592436117</v>
      </c>
      <c r="N9" s="185">
        <f t="shared" si="1"/>
        <v>0.30421550288973176</v>
      </c>
    </row>
    <row r="10" spans="1:14" x14ac:dyDescent="0.2">
      <c r="B10" s="62" t="s">
        <v>42</v>
      </c>
      <c r="C10" s="134">
        <f>'Aramex Courier'!C13</f>
        <v>67793.530503960093</v>
      </c>
      <c r="D10" s="134">
        <f>'Aramex Freight'!C12</f>
        <v>3822.9204956641602</v>
      </c>
      <c r="E10" s="134">
        <f>'Aramex Logistics'!C12</f>
        <v>5702.3992194531002</v>
      </c>
      <c r="F10" s="134">
        <f>2138.62386501166*('2022 IR Data Book'!$A$5)</f>
        <v>2138.6238650116602</v>
      </c>
      <c r="G10" s="134">
        <f>SUM(C10:F10)</f>
        <v>79457.474084089015</v>
      </c>
      <c r="I10" s="62" t="s">
        <v>42</v>
      </c>
      <c r="J10" s="134">
        <f>67870*('2022 IR Data Book'!$A$5)</f>
        <v>67870</v>
      </c>
      <c r="K10" s="134">
        <f>23017*('2022 IR Data Book'!$A$5)</f>
        <v>23017</v>
      </c>
      <c r="L10" s="134">
        <f>6653*('2022 IR Data Book'!$A$5)</f>
        <v>6653</v>
      </c>
      <c r="M10" s="134">
        <f>1967*('2022 IR Data Book'!$A$5)</f>
        <v>1967</v>
      </c>
      <c r="N10" s="134">
        <f>SUM(J10:M10)</f>
        <v>99507</v>
      </c>
    </row>
    <row r="11" spans="1:14" x14ac:dyDescent="0.2">
      <c r="B11" s="63" t="s">
        <v>81</v>
      </c>
      <c r="C11" s="184">
        <f>C10/C7</f>
        <v>6.7648603647471509E-2</v>
      </c>
      <c r="D11" s="184">
        <f t="shared" ref="D11:G11" si="2">D10/D7</f>
        <v>1.326111023328029E-2</v>
      </c>
      <c r="E11" s="184">
        <f t="shared" si="2"/>
        <v>5.4523677267220079E-2</v>
      </c>
      <c r="F11" s="184">
        <f t="shared" si="2"/>
        <v>7.1467255338031527E-2</v>
      </c>
      <c r="G11" s="185">
        <f t="shared" si="2"/>
        <v>5.5762245174899701E-2</v>
      </c>
      <c r="I11" s="63" t="s">
        <v>81</v>
      </c>
      <c r="J11" s="184">
        <f>J10/J7</f>
        <v>8.8324775931928431E-2</v>
      </c>
      <c r="K11" s="184">
        <f t="shared" ref="K11:N11" si="3">K10/K7</f>
        <v>8.7704891964414999E-2</v>
      </c>
      <c r="L11" s="184">
        <f t="shared" si="3"/>
        <v>6.9998872104122964E-2</v>
      </c>
      <c r="M11" s="184">
        <f t="shared" si="3"/>
        <v>7.6391958955854919E-2</v>
      </c>
      <c r="N11" s="185">
        <f t="shared" si="3"/>
        <v>8.6404295289393793E-2</v>
      </c>
    </row>
    <row r="12" spans="1:14" x14ac:dyDescent="0.2">
      <c r="B12" s="63" t="s">
        <v>82</v>
      </c>
      <c r="C12" s="183">
        <f>'Aramex Courier'!C15</f>
        <v>126971.790482873</v>
      </c>
      <c r="D12" s="183">
        <f>'Aramex Freight'!C14</f>
        <v>11649.503469716999</v>
      </c>
      <c r="E12" s="183">
        <f>'Aramex Logistics'!C14</f>
        <v>25987.4230939523</v>
      </c>
      <c r="F12" s="183">
        <f>5237.50723887273*('2022 IR Data Book'!$A$5)</f>
        <v>5237.5072388727303</v>
      </c>
      <c r="G12" s="134">
        <f>SUM(C12:F12)</f>
        <v>169846.22428541502</v>
      </c>
      <c r="I12" s="63" t="s">
        <v>82</v>
      </c>
      <c r="J12" s="183">
        <f>122353.985142297*('2022 IR Data Book'!$A$5)</f>
        <v>122353.985142297</v>
      </c>
      <c r="K12" s="183">
        <f>30232.6171423544*('2022 IR Data Book'!$A$5)</f>
        <v>30232.6171423544</v>
      </c>
      <c r="L12" s="183">
        <f>25377.6620862351*('2022 IR Data Book'!$A$5)</f>
        <v>25377.662086235101</v>
      </c>
      <c r="M12" s="183">
        <f>4921.08205567359*('2022 IR Data Book'!$A$5)</f>
        <v>4921.0820556735898</v>
      </c>
      <c r="N12" s="134">
        <f>SUM(J12:M12)</f>
        <v>182885.34642656008</v>
      </c>
    </row>
    <row r="13" spans="1:14" x14ac:dyDescent="0.2">
      <c r="B13" s="135" t="s">
        <v>83</v>
      </c>
      <c r="C13" s="186">
        <f>C12/C7</f>
        <v>0.12670035422161596</v>
      </c>
      <c r="D13" s="186">
        <f t="shared" ref="D13:G13" si="4">D12/D7</f>
        <v>4.0410296225127075E-2</v>
      </c>
      <c r="E13" s="186">
        <f t="shared" si="4"/>
        <v>0.24847959871831818</v>
      </c>
      <c r="F13" s="186">
        <f t="shared" si="4"/>
        <v>0.17502388956707221</v>
      </c>
      <c r="G13" s="186">
        <f t="shared" si="4"/>
        <v>0.11919592096032713</v>
      </c>
      <c r="I13" s="135" t="s">
        <v>83</v>
      </c>
      <c r="J13" s="186">
        <f t="shared" ref="J13" si="5">J12/J7</f>
        <v>0.15922923710139802</v>
      </c>
      <c r="K13" s="186">
        <f t="shared" ref="K13" si="6">K12/K7</f>
        <v>0.11519956641924289</v>
      </c>
      <c r="L13" s="186">
        <f t="shared" ref="L13" si="7">L12/L7</f>
        <v>0.26700852587945606</v>
      </c>
      <c r="M13" s="186">
        <f t="shared" ref="M13:N13" si="8">M12/M7</f>
        <v>0.19111901292090036</v>
      </c>
      <c r="N13" s="186">
        <f t="shared" si="8"/>
        <v>0.1588036969936143</v>
      </c>
    </row>
    <row r="14" spans="1:14" x14ac:dyDescent="0.2">
      <c r="B14" s="136"/>
      <c r="C14" s="137"/>
      <c r="D14" s="137"/>
      <c r="E14" s="137"/>
      <c r="F14" s="137"/>
      <c r="G14" s="137"/>
      <c r="I14" s="136"/>
      <c r="J14" s="137"/>
      <c r="K14" s="137"/>
      <c r="L14" s="137"/>
      <c r="M14" s="137"/>
      <c r="N14" s="137"/>
    </row>
    <row r="15" spans="1:14" x14ac:dyDescent="0.2">
      <c r="B15" s="136"/>
      <c r="C15" s="137"/>
      <c r="D15" s="137"/>
      <c r="E15" s="137"/>
      <c r="F15" s="137"/>
      <c r="G15" s="137"/>
      <c r="I15" s="136"/>
      <c r="J15" s="137"/>
      <c r="K15" s="137"/>
      <c r="L15" s="137"/>
      <c r="M15" s="137"/>
      <c r="N15" s="137"/>
    </row>
    <row r="16" spans="1:14" x14ac:dyDescent="0.2">
      <c r="B16" s="136"/>
      <c r="C16" s="137"/>
      <c r="D16" s="137"/>
      <c r="E16" s="137"/>
      <c r="F16" s="137"/>
      <c r="G16" s="137"/>
      <c r="I16" s="136"/>
      <c r="J16" s="137"/>
      <c r="K16" s="137"/>
      <c r="L16" s="137"/>
      <c r="M16" s="137"/>
      <c r="N16" s="137"/>
    </row>
    <row r="17" spans="2:14" x14ac:dyDescent="0.2">
      <c r="B17" s="136"/>
      <c r="C17" s="137"/>
      <c r="D17" s="137"/>
      <c r="E17" s="137"/>
      <c r="F17" s="137"/>
      <c r="G17" s="137"/>
      <c r="I17" s="136"/>
      <c r="J17" s="137"/>
      <c r="K17" s="137"/>
      <c r="L17" s="137"/>
      <c r="M17" s="137"/>
      <c r="N17" s="137"/>
    </row>
    <row r="18" spans="2:14" x14ac:dyDescent="0.2">
      <c r="B18" s="132"/>
      <c r="C18" s="246" t="s">
        <v>45</v>
      </c>
      <c r="D18" s="246"/>
      <c r="E18" s="246"/>
      <c r="F18" s="246"/>
      <c r="G18" s="246"/>
      <c r="I18" s="132"/>
      <c r="J18" s="246" t="s">
        <v>46</v>
      </c>
      <c r="K18" s="246"/>
      <c r="L18" s="246"/>
      <c r="M18" s="246"/>
      <c r="N18" s="246"/>
    </row>
    <row r="19" spans="2:14" x14ac:dyDescent="0.2">
      <c r="B19" s="132"/>
      <c r="C19" s="145" t="s">
        <v>37</v>
      </c>
      <c r="D19" s="145" t="s">
        <v>35</v>
      </c>
      <c r="E19" s="145" t="s">
        <v>38</v>
      </c>
      <c r="F19" s="145" t="s">
        <v>39</v>
      </c>
      <c r="G19" s="145" t="s">
        <v>0</v>
      </c>
      <c r="I19" s="132"/>
      <c r="J19" s="145" t="s">
        <v>37</v>
      </c>
      <c r="K19" s="145" t="s">
        <v>35</v>
      </c>
      <c r="L19" s="145" t="s">
        <v>38</v>
      </c>
      <c r="M19" s="145" t="s">
        <v>39</v>
      </c>
      <c r="N19" s="145" t="s">
        <v>0</v>
      </c>
    </row>
    <row r="20" spans="2:14" x14ac:dyDescent="0.2">
      <c r="B20" s="61" t="s">
        <v>40</v>
      </c>
      <c r="C20" s="133">
        <f>'Aramex Courier'!D7</f>
        <v>1100781.6775668799</v>
      </c>
      <c r="D20" s="133">
        <f>'Aramex Freight'!D7</f>
        <v>328594.88728761498</v>
      </c>
      <c r="E20" s="133">
        <f>'Aramex Logistics'!D7</f>
        <v>108808.981524708</v>
      </c>
      <c r="F20" s="133">
        <f>32737.7270639149*('2022 IR Data Book'!$A$5)</f>
        <v>32737.727063914899</v>
      </c>
      <c r="G20" s="133">
        <f>SUM(C20:F20)</f>
        <v>1570923.2734431177</v>
      </c>
      <c r="I20" s="61" t="s">
        <v>40</v>
      </c>
      <c r="J20" s="133">
        <f>918423.610580826*('2022 IR Data Book'!$A$5)</f>
        <v>918423.61058082595</v>
      </c>
      <c r="K20" s="133">
        <f>267575.35078716*('2022 IR Data Book'!$A$5)</f>
        <v>267575.35078715999</v>
      </c>
      <c r="L20" s="133">
        <f>85013.8082673105*('2022 IR Data Book'!$A$5)</f>
        <v>85013.808267310495</v>
      </c>
      <c r="M20" s="133">
        <f>22763.1096013526*('2022 IR Data Book'!$A$5)</f>
        <v>22763.1096013526</v>
      </c>
      <c r="N20" s="133">
        <f>SUM(J20:M20)</f>
        <v>1293775.879236649</v>
      </c>
    </row>
    <row r="21" spans="2:14" x14ac:dyDescent="0.2">
      <c r="B21" s="62" t="s">
        <v>41</v>
      </c>
      <c r="C21" s="134">
        <f>'Aramex Courier'!D10</f>
        <v>325301.35163942387</v>
      </c>
      <c r="D21" s="134">
        <f>'Aramex Freight'!D9</f>
        <v>33953.349184027989</v>
      </c>
      <c r="E21" s="134">
        <f>'Aramex Logistics'!D9</f>
        <v>6914.8195623350039</v>
      </c>
      <c r="F21" s="134">
        <f>22494.6156898403*('2022 IR Data Book'!$A$5)</f>
        <v>22494.615689840299</v>
      </c>
      <c r="G21" s="134">
        <f>SUM(C21:F21)</f>
        <v>388664.13607562718</v>
      </c>
      <c r="I21" s="62" t="s">
        <v>41</v>
      </c>
      <c r="J21" s="134">
        <f>311978*('2022 IR Data Book'!$A$5)</f>
        <v>311978</v>
      </c>
      <c r="K21" s="134">
        <f>30987*('2022 IR Data Book'!$A$5)</f>
        <v>30987</v>
      </c>
      <c r="L21" s="134">
        <f>11371*('2022 IR Data Book'!$A$5)</f>
        <v>11371</v>
      </c>
      <c r="M21" s="134">
        <f>14079*('2022 IR Data Book'!$A$5)</f>
        <v>14079</v>
      </c>
      <c r="N21" s="134">
        <f>SUM(J21:M21)</f>
        <v>368415</v>
      </c>
    </row>
    <row r="22" spans="2:14" x14ac:dyDescent="0.2">
      <c r="B22" s="63" t="s">
        <v>78</v>
      </c>
      <c r="C22" s="184">
        <f>C21/C20</f>
        <v>0.29551850132394636</v>
      </c>
      <c r="D22" s="184">
        <f t="shared" ref="D22:G22" si="9">D21/D20</f>
        <v>0.10332890284537218</v>
      </c>
      <c r="E22" s="184">
        <f t="shared" si="9"/>
        <v>6.3550080751052784E-2</v>
      </c>
      <c r="F22" s="184">
        <f t="shared" si="9"/>
        <v>0.68711598841065991</v>
      </c>
      <c r="G22" s="185">
        <f t="shared" si="9"/>
        <v>0.24741127886135458</v>
      </c>
      <c r="I22" s="63" t="s">
        <v>78</v>
      </c>
      <c r="J22" s="184">
        <f>J21/J20</f>
        <v>0.33968856680709686</v>
      </c>
      <c r="K22" s="184">
        <f t="shared" ref="K22:N22" si="10">K21/K20</f>
        <v>0.11580663132400519</v>
      </c>
      <c r="L22" s="184">
        <f t="shared" si="10"/>
        <v>0.13375474210314109</v>
      </c>
      <c r="M22" s="184">
        <f t="shared" si="10"/>
        <v>0.61850073415116424</v>
      </c>
      <c r="N22" s="185">
        <f t="shared" si="10"/>
        <v>0.28475952126837567</v>
      </c>
    </row>
    <row r="23" spans="2:14" x14ac:dyDescent="0.2">
      <c r="B23" s="62" t="s">
        <v>42</v>
      </c>
      <c r="C23" s="134">
        <f>'Aramex Courier'!D13</f>
        <v>104626.763731849</v>
      </c>
      <c r="D23" s="134">
        <f>'Aramex Freight'!D12</f>
        <v>171.814102409621</v>
      </c>
      <c r="E23" s="134">
        <f>'Aramex Logistics'!D12</f>
        <v>-5088.3904884523699</v>
      </c>
      <c r="F23" s="134">
        <f>-159.111807897699*('2022 IR Data Book'!$A$5)</f>
        <v>-159.11180789769901</v>
      </c>
      <c r="G23" s="134">
        <f>SUM(C23:F23)</f>
        <v>99551.07553790856</v>
      </c>
      <c r="I23" s="62" t="s">
        <v>42</v>
      </c>
      <c r="J23" s="134">
        <f>126244*('2022 IR Data Book'!$A$5)</f>
        <v>126244</v>
      </c>
      <c r="K23" s="134">
        <f>3953*('2022 IR Data Book'!$A$5)</f>
        <v>3953</v>
      </c>
      <c r="L23" s="134">
        <f>1270*('2022 IR Data Book'!$A$5)</f>
        <v>1270</v>
      </c>
      <c r="M23" s="134">
        <f>-4745*('2022 IR Data Book'!$A$5)</f>
        <v>-4745</v>
      </c>
      <c r="N23" s="134">
        <f>SUM(J23:M23)</f>
        <v>126722</v>
      </c>
    </row>
    <row r="24" spans="2:14" x14ac:dyDescent="0.2">
      <c r="B24" s="63" t="s">
        <v>81</v>
      </c>
      <c r="C24" s="184">
        <f>C23/C20</f>
        <v>9.5047697344591953E-2</v>
      </c>
      <c r="D24" s="184">
        <f t="shared" ref="D24:G24" si="11">D23/D20</f>
        <v>5.2287515435148657E-4</v>
      </c>
      <c r="E24" s="184">
        <f t="shared" si="11"/>
        <v>-4.6764434490152031E-2</v>
      </c>
      <c r="F24" s="184">
        <f t="shared" si="11"/>
        <v>-4.860197153793237E-3</v>
      </c>
      <c r="G24" s="185">
        <f t="shared" si="11"/>
        <v>6.3371061604883178E-2</v>
      </c>
      <c r="I24" s="63" t="s">
        <v>81</v>
      </c>
      <c r="J24" s="184">
        <f>J23/J20</f>
        <v>0.13745726758936572</v>
      </c>
      <c r="K24" s="184">
        <f t="shared" ref="K24:N24" si="12">K23/K20</f>
        <v>1.4773408643101706E-2</v>
      </c>
      <c r="L24" s="184">
        <f t="shared" si="12"/>
        <v>1.4938749667662404E-2</v>
      </c>
      <c r="M24" s="184">
        <f t="shared" si="12"/>
        <v>-0.20845130929379035</v>
      </c>
      <c r="N24" s="185">
        <f t="shared" si="12"/>
        <v>9.794741271167326E-2</v>
      </c>
    </row>
    <row r="25" spans="2:14" x14ac:dyDescent="0.2">
      <c r="B25" s="63" t="s">
        <v>82</v>
      </c>
      <c r="C25" s="183">
        <f>'Aramex Courier'!D15</f>
        <v>164433.59567524301</v>
      </c>
      <c r="D25" s="183">
        <f>'Aramex Freight'!D14</f>
        <v>7725.8867375290802</v>
      </c>
      <c r="E25" s="183">
        <f>'Aramex Logistics'!D14</f>
        <v>17185.020126015799</v>
      </c>
      <c r="F25" s="183">
        <f>3366.65007097598*('2022 IR Data Book'!$A$5)</f>
        <v>3366.6500709759798</v>
      </c>
      <c r="G25" s="134">
        <f>SUM(C25:F25)</f>
        <v>192711.15260976384</v>
      </c>
      <c r="I25" s="63" t="s">
        <v>82</v>
      </c>
      <c r="J25" s="183">
        <f>179449.986513259*('2022 IR Data Book'!$A$5)</f>
        <v>179449.98651325901</v>
      </c>
      <c r="K25" s="183">
        <f>10653.4667073961*('2022 IR Data Book'!$A$5)</f>
        <v>10653.466707396101</v>
      </c>
      <c r="L25" s="183">
        <f>21000.470435179*('2022 IR Data Book'!$A$5)</f>
        <v>21000.470435178999</v>
      </c>
      <c r="M25" s="183">
        <f>-1714.19742397212*('2022 IR Data Book'!$A$5)</f>
        <v>-1714.1974239721201</v>
      </c>
      <c r="N25" s="134">
        <f>SUM(J25:M25)</f>
        <v>209389.72623186198</v>
      </c>
    </row>
    <row r="26" spans="2:14" x14ac:dyDescent="0.2">
      <c r="B26" s="135" t="s">
        <v>83</v>
      </c>
      <c r="C26" s="186">
        <f>C25/C20</f>
        <v>0.14937893592006354</v>
      </c>
      <c r="D26" s="186">
        <f t="shared" ref="D26:G26" si="13">D25/D20</f>
        <v>2.3511889674554518E-2</v>
      </c>
      <c r="E26" s="186">
        <f t="shared" si="13"/>
        <v>0.1579375147640131</v>
      </c>
      <c r="F26" s="186">
        <f t="shared" si="13"/>
        <v>0.10283701322340315</v>
      </c>
      <c r="G26" s="186">
        <f t="shared" si="13"/>
        <v>0.12267381600845689</v>
      </c>
      <c r="I26" s="135" t="s">
        <v>83</v>
      </c>
      <c r="J26" s="186">
        <f>J25/J20</f>
        <v>0.19538912593914254</v>
      </c>
      <c r="K26" s="186">
        <f t="shared" ref="K26:N26" si="14">K25/K20</f>
        <v>3.9814828518604052E-2</v>
      </c>
      <c r="L26" s="186">
        <f t="shared" si="14"/>
        <v>0.24702422892463338</v>
      </c>
      <c r="M26" s="186">
        <f t="shared" si="14"/>
        <v>-7.530594255322047E-2</v>
      </c>
      <c r="N26" s="186">
        <f t="shared" si="14"/>
        <v>0.16184389397907595</v>
      </c>
    </row>
    <row r="27" spans="2:14" x14ac:dyDescent="0.2">
      <c r="B27" s="136"/>
      <c r="C27" s="137"/>
      <c r="D27" s="137"/>
      <c r="E27" s="137"/>
      <c r="F27" s="137"/>
      <c r="G27" s="137"/>
      <c r="I27" s="136"/>
      <c r="J27" s="137"/>
      <c r="K27" s="137"/>
      <c r="L27" s="137"/>
      <c r="M27" s="137"/>
      <c r="N27" s="137"/>
    </row>
    <row r="28" spans="2:14" x14ac:dyDescent="0.2">
      <c r="B28" s="136"/>
      <c r="C28" s="137"/>
      <c r="D28" s="137"/>
      <c r="E28" s="137"/>
      <c r="F28" s="137"/>
      <c r="G28" s="137"/>
      <c r="I28" s="136"/>
      <c r="J28" s="137"/>
      <c r="K28" s="137"/>
      <c r="L28" s="137"/>
      <c r="M28" s="137"/>
      <c r="N28" s="137"/>
    </row>
    <row r="29" spans="2:14" x14ac:dyDescent="0.2">
      <c r="B29" s="136"/>
      <c r="C29" s="137"/>
      <c r="D29" s="137"/>
      <c r="E29" s="137"/>
      <c r="F29" s="137"/>
      <c r="G29" s="137"/>
      <c r="I29" s="136"/>
      <c r="J29" s="137"/>
      <c r="K29" s="137"/>
      <c r="L29" s="137"/>
      <c r="M29" s="137"/>
      <c r="N29" s="137"/>
    </row>
    <row r="31" spans="2:14" x14ac:dyDescent="0.2">
      <c r="B31" s="132"/>
      <c r="C31" s="246" t="s">
        <v>47</v>
      </c>
      <c r="D31" s="246"/>
      <c r="E31" s="246"/>
      <c r="F31" s="246"/>
      <c r="G31" s="246"/>
      <c r="I31" s="132"/>
      <c r="J31" s="246" t="s">
        <v>48</v>
      </c>
      <c r="K31" s="246"/>
      <c r="L31" s="246"/>
      <c r="M31" s="246"/>
      <c r="N31" s="246"/>
    </row>
    <row r="32" spans="2:14" x14ac:dyDescent="0.2">
      <c r="B32" s="132"/>
      <c r="C32" s="145" t="s">
        <v>37</v>
      </c>
      <c r="D32" s="145" t="s">
        <v>35</v>
      </c>
      <c r="E32" s="145" t="s">
        <v>38</v>
      </c>
      <c r="F32" s="145" t="s">
        <v>39</v>
      </c>
      <c r="G32" s="145" t="s">
        <v>0</v>
      </c>
      <c r="I32" s="132"/>
      <c r="J32" s="145" t="s">
        <v>37</v>
      </c>
      <c r="K32" s="145" t="s">
        <v>35</v>
      </c>
      <c r="L32" s="145" t="s">
        <v>38</v>
      </c>
      <c r="M32" s="145" t="s">
        <v>39</v>
      </c>
      <c r="N32" s="145" t="s">
        <v>0</v>
      </c>
    </row>
    <row r="33" spans="2:14" x14ac:dyDescent="0.2">
      <c r="B33" s="61" t="s">
        <v>40</v>
      </c>
      <c r="C33" s="133">
        <f>'Aramex Courier'!E7</f>
        <v>997394.71182359406</v>
      </c>
      <c r="D33" s="133">
        <f>'Aramex Freight'!E7</f>
        <v>317999.95602937101</v>
      </c>
      <c r="E33" s="133">
        <f>'Aramex Logistics'!E7</f>
        <v>108445.010175879</v>
      </c>
      <c r="F33" s="133">
        <f>37564.4885549471*('2022 IR Data Book'!$A$5)</f>
        <v>37564.4885549471</v>
      </c>
      <c r="G33" s="133">
        <f>SUM(C33:F33)</f>
        <v>1461404.1665837914</v>
      </c>
      <c r="I33" s="61" t="s">
        <v>40</v>
      </c>
      <c r="J33" s="133">
        <f>1065472.5562529*('2022 IR Data Book'!$A$5)</f>
        <v>1065472.5562529</v>
      </c>
      <c r="K33" s="133">
        <f>274871.806204384*('2022 IR Data Book'!$A$5)</f>
        <v>274871.80620438402</v>
      </c>
      <c r="L33" s="133">
        <f>94045.7817679466*('2022 IR Data Book'!$A$5)</f>
        <v>94045.781767946595</v>
      </c>
      <c r="M33" s="133">
        <f>32143.5876797614*('2022 IR Data Book'!$A$5)</f>
        <v>32143.5876797614</v>
      </c>
      <c r="N33" s="133">
        <f>SUM(J33:M33)</f>
        <v>1466533.7319049921</v>
      </c>
    </row>
    <row r="34" spans="2:14" x14ac:dyDescent="0.2">
      <c r="B34" s="62" t="s">
        <v>41</v>
      </c>
      <c r="C34" s="134">
        <f>'Aramex Courier'!E10</f>
        <v>280077.13855186</v>
      </c>
      <c r="D34" s="134">
        <f>'Aramex Freight'!E9</f>
        <v>38210.717516395031</v>
      </c>
      <c r="E34" s="134">
        <f>'Aramex Logistics'!E9</f>
        <v>13667.8106856214</v>
      </c>
      <c r="F34" s="134">
        <f>24123.9955232937*('2022 IR Data Book'!$A$5)</f>
        <v>24123.995523293699</v>
      </c>
      <c r="G34" s="134">
        <f>SUM(C34:F34)</f>
        <v>356079.66227717011</v>
      </c>
      <c r="I34" s="62" t="s">
        <v>41</v>
      </c>
      <c r="J34" s="134">
        <f>343301*('2022 IR Data Book'!$A$5)</f>
        <v>343301</v>
      </c>
      <c r="K34" s="134">
        <f>33865*('2022 IR Data Book'!$A$5)</f>
        <v>33865</v>
      </c>
      <c r="L34" s="134">
        <f>11665*('2022 IR Data Book'!$A$5)</f>
        <v>11665</v>
      </c>
      <c r="M34" s="134">
        <f>19225*('2022 IR Data Book'!$A$5)</f>
        <v>19225</v>
      </c>
      <c r="N34" s="134">
        <f>SUM(J34:M34)</f>
        <v>408056</v>
      </c>
    </row>
    <row r="35" spans="2:14" x14ac:dyDescent="0.2">
      <c r="B35" s="63" t="s">
        <v>78</v>
      </c>
      <c r="C35" s="184">
        <f>C34/C33</f>
        <v>0.28080872620607633</v>
      </c>
      <c r="D35" s="184">
        <f t="shared" ref="D35:G35" si="15">D34/D33</f>
        <v>0.12015950566001281</v>
      </c>
      <c r="E35" s="184">
        <f t="shared" si="15"/>
        <v>0.12603448202415751</v>
      </c>
      <c r="F35" s="184">
        <f t="shared" si="15"/>
        <v>0.64220215558123606</v>
      </c>
      <c r="G35" s="185">
        <f t="shared" si="15"/>
        <v>0.24365584170294882</v>
      </c>
      <c r="I35" s="63" t="s">
        <v>78</v>
      </c>
      <c r="J35" s="184">
        <f>J34/J33</f>
        <v>0.32220538951029937</v>
      </c>
      <c r="K35" s="184">
        <f t="shared" ref="K35:N35" si="16">K34/K33</f>
        <v>0.12320288671155782</v>
      </c>
      <c r="L35" s="184">
        <f t="shared" si="16"/>
        <v>0.12403533450104995</v>
      </c>
      <c r="M35" s="184">
        <f t="shared" si="16"/>
        <v>0.59809751766149788</v>
      </c>
      <c r="N35" s="185">
        <f t="shared" si="16"/>
        <v>0.27824521940586056</v>
      </c>
    </row>
    <row r="36" spans="2:14" x14ac:dyDescent="0.2">
      <c r="B36" s="63" t="s">
        <v>42</v>
      </c>
      <c r="C36" s="134">
        <f>'Aramex Courier'!E13</f>
        <v>53874.798717394799</v>
      </c>
      <c r="D36" s="134">
        <f>'Aramex Freight'!E12</f>
        <v>6175.94418512423</v>
      </c>
      <c r="E36" s="134">
        <f>'Aramex Logistics'!E12</f>
        <v>5985.1613770621298</v>
      </c>
      <c r="F36" s="134">
        <f>1982.01410862253*('2022 IR Data Book'!$A$5)</f>
        <v>1982.0141086225301</v>
      </c>
      <c r="G36" s="134">
        <f>SUM(C36:F36)</f>
        <v>68017.918388203689</v>
      </c>
      <c r="I36" s="63" t="s">
        <v>42</v>
      </c>
      <c r="J36" s="134">
        <f>135940*('2022 IR Data Book'!$A$5)</f>
        <v>135940</v>
      </c>
      <c r="K36" s="134">
        <f>3055*('2022 IR Data Book'!$A$5)</f>
        <v>3055</v>
      </c>
      <c r="L36" s="134">
        <f>-53234*('2022 IR Data Book'!$A$5)</f>
        <v>-53234</v>
      </c>
      <c r="M36" s="134">
        <f>-1607*('2022 IR Data Book'!$A$5)</f>
        <v>-1607</v>
      </c>
      <c r="N36" s="134">
        <f>SUM(J36:M36)</f>
        <v>84154</v>
      </c>
    </row>
    <row r="37" spans="2:14" x14ac:dyDescent="0.2">
      <c r="B37" s="63" t="s">
        <v>81</v>
      </c>
      <c r="C37" s="184">
        <f>C36/C33</f>
        <v>5.4015524725303993E-2</v>
      </c>
      <c r="D37" s="184">
        <f t="shared" ref="D37:G37" si="17">D36/D33</f>
        <v>1.9421210814739263E-2</v>
      </c>
      <c r="E37" s="184">
        <f t="shared" si="17"/>
        <v>5.5190749370166832E-2</v>
      </c>
      <c r="F37" s="184">
        <f t="shared" si="17"/>
        <v>5.2762973352435176E-2</v>
      </c>
      <c r="G37" s="185">
        <f t="shared" si="17"/>
        <v>4.6542852376836849E-2</v>
      </c>
      <c r="I37" s="63" t="s">
        <v>81</v>
      </c>
      <c r="J37" s="184">
        <f>J36/J33</f>
        <v>0.12758658043533253</v>
      </c>
      <c r="K37" s="184">
        <f t="shared" ref="K37:N37" si="18">K36/K33</f>
        <v>1.1114271929833431E-2</v>
      </c>
      <c r="L37" s="184">
        <f t="shared" si="18"/>
        <v>-0.56604346308005937</v>
      </c>
      <c r="M37" s="184">
        <f t="shared" si="18"/>
        <v>-4.9994419291652908E-2</v>
      </c>
      <c r="N37" s="185">
        <f t="shared" si="18"/>
        <v>5.7382928308567421E-2</v>
      </c>
    </row>
    <row r="38" spans="2:14" x14ac:dyDescent="0.2">
      <c r="B38" s="63" t="s">
        <v>82</v>
      </c>
      <c r="C38" s="183">
        <f>'Aramex Courier'!E15</f>
        <v>115047.863269421</v>
      </c>
      <c r="D38" s="183">
        <f>'Aramex Freight'!E14</f>
        <v>12716.200574889501</v>
      </c>
      <c r="E38" s="183">
        <f>'Aramex Logistics'!E14</f>
        <v>29044.747017811002</v>
      </c>
      <c r="F38" s="183">
        <f>6321.13303337245*('2022 IR Data Book'!$A$5)</f>
        <v>6321.13303337245</v>
      </c>
      <c r="G38" s="134">
        <f>SUM(C38:F38)</f>
        <v>163129.94389549395</v>
      </c>
      <c r="I38" s="63" t="s">
        <v>82</v>
      </c>
      <c r="J38" s="183">
        <f>190817.974518227*('2022 IR Data Book'!$A$5)</f>
        <v>190817.97451822701</v>
      </c>
      <c r="K38" s="183">
        <f>8915.85774876994*('2022 IR Data Book'!$A$5)</f>
        <v>8915.8577487699404</v>
      </c>
      <c r="L38" s="183">
        <f>-32546.2048357356*('2022 IR Data Book'!$A$5)</f>
        <v>-32546.2048357356</v>
      </c>
      <c r="M38" s="183">
        <f>2291.72712826686*('2022 IR Data Book'!$A$5)</f>
        <v>2291.7271282668598</v>
      </c>
      <c r="N38" s="134">
        <f>SUM(J38:M38)</f>
        <v>169479.3545595282</v>
      </c>
    </row>
    <row r="39" spans="2:14" x14ac:dyDescent="0.2">
      <c r="B39" s="135" t="s">
        <v>83</v>
      </c>
      <c r="C39" s="186">
        <f>C38/C33</f>
        <v>0.11534837903749497</v>
      </c>
      <c r="D39" s="186">
        <f t="shared" ref="D39:G39" si="19">D38/D33</f>
        <v>3.9988057651539462E-2</v>
      </c>
      <c r="E39" s="186">
        <f t="shared" si="19"/>
        <v>0.26782926176783478</v>
      </c>
      <c r="F39" s="186">
        <f t="shared" si="19"/>
        <v>0.16827416734627632</v>
      </c>
      <c r="G39" s="186">
        <f t="shared" si="19"/>
        <v>0.11162548159201563</v>
      </c>
      <c r="I39" s="135" t="s">
        <v>83</v>
      </c>
      <c r="J39" s="186">
        <f>J38/J33</f>
        <v>0.17909234113856853</v>
      </c>
      <c r="K39" s="186">
        <f t="shared" ref="K39:N39" si="20">K38/K33</f>
        <v>3.2436421442730484E-2</v>
      </c>
      <c r="L39" s="186">
        <f t="shared" si="20"/>
        <v>-0.34606767282813156</v>
      </c>
      <c r="M39" s="186">
        <f t="shared" si="20"/>
        <v>7.129655690891662E-2</v>
      </c>
      <c r="N39" s="186">
        <f t="shared" si="20"/>
        <v>0.1155645798473238</v>
      </c>
    </row>
    <row r="42" spans="2:14" x14ac:dyDescent="0.2">
      <c r="B42" s="132"/>
      <c r="C42" s="246" t="s">
        <v>49</v>
      </c>
      <c r="D42" s="246"/>
      <c r="E42" s="246"/>
      <c r="F42" s="246"/>
      <c r="G42" s="246"/>
      <c r="I42" s="132"/>
      <c r="J42" s="246" t="s">
        <v>50</v>
      </c>
      <c r="K42" s="246"/>
      <c r="L42" s="246"/>
      <c r="M42" s="246"/>
      <c r="N42" s="246"/>
    </row>
    <row r="43" spans="2:14" x14ac:dyDescent="0.2">
      <c r="B43" s="132"/>
      <c r="C43" s="145" t="s">
        <v>37</v>
      </c>
      <c r="D43" s="145" t="s">
        <v>35</v>
      </c>
      <c r="E43" s="145" t="s">
        <v>38</v>
      </c>
      <c r="F43" s="145" t="s">
        <v>39</v>
      </c>
      <c r="G43" s="145" t="s">
        <v>0</v>
      </c>
      <c r="I43" s="132"/>
      <c r="J43" s="145" t="s">
        <v>37</v>
      </c>
      <c r="K43" s="145" t="s">
        <v>35</v>
      </c>
      <c r="L43" s="145" t="s">
        <v>38</v>
      </c>
      <c r="M43" s="145" t="s">
        <v>39</v>
      </c>
      <c r="N43" s="145" t="s">
        <v>0</v>
      </c>
    </row>
    <row r="44" spans="2:14" x14ac:dyDescent="0.2">
      <c r="B44" s="61" t="s">
        <v>40</v>
      </c>
      <c r="C44" s="133">
        <f>'Aramex Courier'!F7</f>
        <v>1043644.04944887</v>
      </c>
      <c r="D44" s="133">
        <f>'Aramex Freight'!F7</f>
        <v>390676.02399267798</v>
      </c>
      <c r="E44" s="133">
        <f>'Aramex Logistics'!F7</f>
        <v>113016.407797778</v>
      </c>
      <c r="F44" s="133">
        <f>64208.0360489572*('2022 IR Data Book'!$A$5)</f>
        <v>64208.036048957198</v>
      </c>
      <c r="G44" s="133">
        <f>SUM(C44:F44)</f>
        <v>1611544.5172882832</v>
      </c>
      <c r="I44" s="61" t="s">
        <v>40</v>
      </c>
      <c r="J44" s="133">
        <f>1183088.24381891*('2022 IR Data Book'!$A$5)</f>
        <v>1183088.2438189101</v>
      </c>
      <c r="K44" s="133">
        <f>279847.239544934*('2022 IR Data Book'!$A$5)</f>
        <v>279847.23954493401</v>
      </c>
      <c r="L44" s="133">
        <f>100758.250635899*('2022 IR Data Book'!$A$5)</f>
        <v>100758.25063589901</v>
      </c>
      <c r="M44" s="133">
        <f>34652.0164646013*('2022 IR Data Book'!$A$5)</f>
        <v>34652.0164646013</v>
      </c>
      <c r="N44" s="133">
        <f>SUM(J44:M44)</f>
        <v>1598345.7504643442</v>
      </c>
    </row>
    <row r="45" spans="2:14" x14ac:dyDescent="0.2">
      <c r="B45" s="62" t="s">
        <v>41</v>
      </c>
      <c r="C45" s="134">
        <f>'Aramex Courier'!F10</f>
        <v>257298.79263545002</v>
      </c>
      <c r="D45" s="134">
        <f>'Aramex Freight'!F9</f>
        <v>44878.361750983982</v>
      </c>
      <c r="E45" s="134">
        <f>'Aramex Logistics'!F9</f>
        <v>3866.3617152739898</v>
      </c>
      <c r="F45" s="134">
        <f>21432.8164407227*('2022 IR Data Book'!$A$5)</f>
        <v>21432.816440722701</v>
      </c>
      <c r="G45" s="134">
        <f>SUM(C45:F45)</f>
        <v>327476.33254243073</v>
      </c>
      <c r="I45" s="62" t="s">
        <v>41</v>
      </c>
      <c r="J45" s="134">
        <f>354414*('2022 IR Data Book'!$A$5)</f>
        <v>354414</v>
      </c>
      <c r="K45" s="134">
        <f>18812*('2022 IR Data Book'!$A$5)</f>
        <v>18812</v>
      </c>
      <c r="L45" s="134">
        <f>9009.99999999999*('2022 IR Data Book'!$A$5)</f>
        <v>9009.9999999999909</v>
      </c>
      <c r="M45" s="134">
        <f>24736*('2022 IR Data Book'!$A$5)</f>
        <v>24736</v>
      </c>
      <c r="N45" s="134">
        <f>SUM(J45:M45)</f>
        <v>406972</v>
      </c>
    </row>
    <row r="46" spans="2:14" x14ac:dyDescent="0.2">
      <c r="B46" s="63" t="s">
        <v>78</v>
      </c>
      <c r="C46" s="184">
        <f>C45/C44</f>
        <v>0.2465388393402185</v>
      </c>
      <c r="D46" s="184">
        <f t="shared" ref="D46:G46" si="21">D45/D44</f>
        <v>0.11487360112947471</v>
      </c>
      <c r="E46" s="184">
        <f t="shared" si="21"/>
        <v>3.4210622958324159E-2</v>
      </c>
      <c r="F46" s="184">
        <f t="shared" si="21"/>
        <v>0.33380271005923084</v>
      </c>
      <c r="G46" s="185">
        <f t="shared" si="21"/>
        <v>0.20320650719191377</v>
      </c>
      <c r="I46" s="63" t="s">
        <v>78</v>
      </c>
      <c r="J46" s="184">
        <f t="shared" ref="J46" si="22">J45/J44</f>
        <v>0.29956683438589599</v>
      </c>
      <c r="K46" s="184">
        <f t="shared" ref="K46" si="23">K45/K44</f>
        <v>6.7222389009770553E-2</v>
      </c>
      <c r="L46" s="184">
        <f t="shared" ref="L46" si="24">L45/L44</f>
        <v>8.9421957439084709E-2</v>
      </c>
      <c r="M46" s="184">
        <f t="shared" ref="M46" si="25">M45/M44</f>
        <v>0.71384013179345607</v>
      </c>
      <c r="N46" s="185">
        <f t="shared" ref="N46" si="26">N45/N44</f>
        <v>0.25462075391495759</v>
      </c>
    </row>
    <row r="47" spans="2:14" x14ac:dyDescent="0.2">
      <c r="B47" s="63" t="s">
        <v>42</v>
      </c>
      <c r="C47" s="134">
        <f>'Aramex Courier'!F13</f>
        <v>40584.339646128697</v>
      </c>
      <c r="D47" s="134">
        <f>'Aramex Freight'!F12</f>
        <v>4141.4806397408001</v>
      </c>
      <c r="E47" s="134">
        <f>'Aramex Logistics'!F12</f>
        <v>15863.6146362646</v>
      </c>
      <c r="F47" s="134">
        <f>-1942.01158003503*('2022 IR Data Book'!$A$5)</f>
        <v>-1942.01158003503</v>
      </c>
      <c r="G47" s="134">
        <f>SUM(C47:F47)</f>
        <v>58647.423342099064</v>
      </c>
      <c r="I47" s="63" t="s">
        <v>42</v>
      </c>
      <c r="J47" s="134">
        <f>127651*('2022 IR Data Book'!$A$5)</f>
        <v>127651</v>
      </c>
      <c r="K47" s="134">
        <f>-13506*('2022 IR Data Book'!$A$5)</f>
        <v>-13506</v>
      </c>
      <c r="L47" s="134">
        <f>-39394*('2022 IR Data Book'!$A$5)</f>
        <v>-39394</v>
      </c>
      <c r="M47" s="134">
        <f>14414*('2022 IR Data Book'!$A$5)</f>
        <v>14414</v>
      </c>
      <c r="N47" s="134">
        <f>SUM(J47:M47)</f>
        <v>89165</v>
      </c>
    </row>
    <row r="48" spans="2:14" x14ac:dyDescent="0.2">
      <c r="B48" s="63" t="s">
        <v>81</v>
      </c>
      <c r="C48" s="184">
        <f>C47/C44</f>
        <v>3.8887147076209147E-2</v>
      </c>
      <c r="D48" s="184">
        <f t="shared" ref="D48:G48" si="27">D47/D44</f>
        <v>1.0600805745423526E-2</v>
      </c>
      <c r="E48" s="184">
        <f t="shared" si="27"/>
        <v>0.14036558890324677</v>
      </c>
      <c r="F48" s="184">
        <f t="shared" si="27"/>
        <v>-3.0245615650886588E-2</v>
      </c>
      <c r="G48" s="185">
        <f t="shared" si="27"/>
        <v>3.6392059116544931E-2</v>
      </c>
      <c r="I48" s="63" t="s">
        <v>81</v>
      </c>
      <c r="J48" s="184">
        <f>J47/J44</f>
        <v>0.10789643178935937</v>
      </c>
      <c r="K48" s="184">
        <f t="shared" ref="K48:N48" si="28">K47/K44</f>
        <v>-4.8262044756855256E-2</v>
      </c>
      <c r="L48" s="184">
        <f t="shared" si="28"/>
        <v>-0.39097542634354127</v>
      </c>
      <c r="M48" s="184">
        <f t="shared" si="28"/>
        <v>0.41596424885474109</v>
      </c>
      <c r="N48" s="185">
        <f t="shared" si="28"/>
        <v>5.5785802273441897E-2</v>
      </c>
    </row>
    <row r="49" spans="2:14" x14ac:dyDescent="0.2">
      <c r="B49" s="63" t="s">
        <v>82</v>
      </c>
      <c r="C49" s="183">
        <f>'Aramex Courier'!F15</f>
        <v>97113.976719968807</v>
      </c>
      <c r="D49" s="183">
        <f>'Aramex Freight'!F14</f>
        <v>11485.708515803801</v>
      </c>
      <c r="E49" s="183">
        <f>'Aramex Logistics'!F14</f>
        <v>38202.377211557301</v>
      </c>
      <c r="F49" s="183">
        <f>2849.07552683917*('2022 IR Data Book'!$A$5)</f>
        <v>2849.0755268391699</v>
      </c>
      <c r="G49" s="134">
        <f>SUM(C49:F49)</f>
        <v>149651.13797416908</v>
      </c>
      <c r="I49" s="63" t="s">
        <v>82</v>
      </c>
      <c r="J49" s="183">
        <f>185007.379428629*('2022 IR Data Book'!$A$5)</f>
        <v>185007.37942862901</v>
      </c>
      <c r="K49" s="183">
        <f>1935.44186111497*('2022 IR Data Book'!$A$5)</f>
        <v>1935.4418611149699</v>
      </c>
      <c r="L49" s="183">
        <f>-18868.2903895795*('2022 IR Data Book'!$A$5)</f>
        <v>-18868.290389579499</v>
      </c>
      <c r="M49" s="183">
        <f>11528.0646359834*('2022 IR Data Book'!$A$5)</f>
        <v>11528.064635983401</v>
      </c>
      <c r="N49" s="134">
        <f>SUM(J49:M49)</f>
        <v>179602.59553614788</v>
      </c>
    </row>
    <row r="50" spans="2:14" x14ac:dyDescent="0.2">
      <c r="B50" s="135" t="s">
        <v>83</v>
      </c>
      <c r="C50" s="186">
        <f>C49/C44</f>
        <v>9.305277673096779E-2</v>
      </c>
      <c r="D50" s="186">
        <f t="shared" ref="D50:G50" si="29">D49/D44</f>
        <v>2.9399573586371568E-2</v>
      </c>
      <c r="E50" s="186">
        <f t="shared" si="29"/>
        <v>0.33802505278625916</v>
      </c>
      <c r="F50" s="186">
        <f t="shared" si="29"/>
        <v>4.4372569263243206E-2</v>
      </c>
      <c r="G50" s="186">
        <f t="shared" si="29"/>
        <v>9.2861932369069353E-2</v>
      </c>
      <c r="I50" s="135" t="s">
        <v>83</v>
      </c>
      <c r="J50" s="186">
        <f t="shared" ref="J50:N50" si="30">J49/J44</f>
        <v>0.15637665270972573</v>
      </c>
      <c r="K50" s="186">
        <f t="shared" si="30"/>
        <v>6.9160655801437819E-3</v>
      </c>
      <c r="L50" s="186">
        <f t="shared" si="30"/>
        <v>-0.18726298115041851</v>
      </c>
      <c r="M50" s="186">
        <f t="shared" si="30"/>
        <v>0.33268091765337443</v>
      </c>
      <c r="N50" s="186">
        <f t="shared" si="30"/>
        <v>0.11236779994814673</v>
      </c>
    </row>
    <row r="53" spans="2:14" x14ac:dyDescent="0.2">
      <c r="B53" s="132"/>
      <c r="C53" s="246" t="s">
        <v>84</v>
      </c>
      <c r="D53" s="246"/>
      <c r="E53" s="246"/>
      <c r="F53" s="246"/>
      <c r="G53" s="246"/>
    </row>
    <row r="54" spans="2:14" x14ac:dyDescent="0.2">
      <c r="B54" s="132"/>
      <c r="C54" s="145" t="s">
        <v>37</v>
      </c>
      <c r="D54" s="145" t="s">
        <v>35</v>
      </c>
      <c r="E54" s="145" t="s">
        <v>38</v>
      </c>
      <c r="F54" s="145" t="s">
        <v>39</v>
      </c>
      <c r="G54" s="145" t="s">
        <v>0</v>
      </c>
      <c r="I54" s="29"/>
    </row>
    <row r="55" spans="2:14" x14ac:dyDescent="0.2">
      <c r="B55" s="61" t="s">
        <v>40</v>
      </c>
      <c r="C55" s="133">
        <f>'Aramex Courier'!G7</f>
        <v>911091.91867505503</v>
      </c>
      <c r="D55" s="133">
        <f>'Aramex Freight'!G7</f>
        <v>391132.66692934901</v>
      </c>
      <c r="E55" s="133">
        <f>'Aramex Logistics'!G7</f>
        <v>112105.259668336</v>
      </c>
      <c r="F55" s="133">
        <f>34601.9833958592*('2022 IR Data Book'!$A$5)</f>
        <v>34601.983395859199</v>
      </c>
      <c r="G55" s="133">
        <f>SUM(C55:F55)</f>
        <v>1448931.8286685992</v>
      </c>
      <c r="I55" s="29"/>
    </row>
    <row r="56" spans="2:14" x14ac:dyDescent="0.2">
      <c r="B56" s="62" t="s">
        <v>41</v>
      </c>
      <c r="C56" s="134">
        <f>'Aramex Courier'!G10</f>
        <v>257207.00737187103</v>
      </c>
      <c r="D56" s="134">
        <f>'Aramex Freight'!G9</f>
        <v>51962.140102084028</v>
      </c>
      <c r="E56" s="134">
        <f>'Aramex Logistics'!G9</f>
        <v>13262.422682850796</v>
      </c>
      <c r="F56" s="134">
        <f>21668.6501526245*('2022 IR Data Book'!$A$5)</f>
        <v>21668.650152624501</v>
      </c>
      <c r="G56" s="134">
        <f>SUM(C56:F56)</f>
        <v>344100.22030943038</v>
      </c>
    </row>
    <row r="57" spans="2:14" x14ac:dyDescent="0.2">
      <c r="B57" s="63" t="s">
        <v>78</v>
      </c>
      <c r="C57" s="184">
        <f>C56/C55</f>
        <v>0.28230632069035511</v>
      </c>
      <c r="D57" s="184">
        <f t="shared" ref="D57:G57" si="31">D56/D55</f>
        <v>0.13285042262008262</v>
      </c>
      <c r="E57" s="184">
        <f t="shared" si="31"/>
        <v>0.11830330460932648</v>
      </c>
      <c r="F57" s="184">
        <f t="shared" si="31"/>
        <v>0.62622566760775844</v>
      </c>
      <c r="G57" s="185">
        <f t="shared" si="31"/>
        <v>0.23748544514038228</v>
      </c>
    </row>
    <row r="58" spans="2:14" x14ac:dyDescent="0.2">
      <c r="B58" s="63" t="s">
        <v>42</v>
      </c>
      <c r="C58" s="134">
        <f>'Aramex Courier'!G13</f>
        <v>52446.692777641401</v>
      </c>
      <c r="D58" s="134">
        <f>'Aramex Freight'!G12</f>
        <v>14686.211614607901</v>
      </c>
      <c r="E58" s="134">
        <f>'Aramex Logistics'!G12</f>
        <v>5884.6276069965998</v>
      </c>
      <c r="F58" s="134">
        <f>1986.59382133563*('2022 IR Data Book'!$A$5)</f>
        <v>1986.5938213356301</v>
      </c>
      <c r="G58" s="134">
        <f>SUM(C58:F58)</f>
        <v>75004.125820581525</v>
      </c>
    </row>
    <row r="59" spans="2:14" x14ac:dyDescent="0.2">
      <c r="B59" s="63" t="s">
        <v>81</v>
      </c>
      <c r="C59" s="184">
        <f>C58/C55</f>
        <v>5.7564655884459387E-2</v>
      </c>
      <c r="D59" s="184">
        <f t="shared" ref="D59:G59" si="32">D58/D55</f>
        <v>3.7547903451543456E-2</v>
      </c>
      <c r="E59" s="184">
        <f t="shared" si="32"/>
        <v>5.2491984982741234E-2</v>
      </c>
      <c r="F59" s="184">
        <f t="shared" si="32"/>
        <v>5.7412715294619922E-2</v>
      </c>
      <c r="G59" s="185">
        <f t="shared" si="32"/>
        <v>5.1765117127354182E-2</v>
      </c>
    </row>
    <row r="60" spans="2:14" x14ac:dyDescent="0.2">
      <c r="B60" s="63" t="s">
        <v>82</v>
      </c>
      <c r="C60" s="183">
        <f>'Aramex Courier'!G15</f>
        <v>111870.829071796</v>
      </c>
      <c r="D60" s="183">
        <f>'Aramex Freight'!G14</f>
        <v>21571.262955986898</v>
      </c>
      <c r="E60" s="183">
        <f>'Aramex Logistics'!G14</f>
        <v>28854.052447652699</v>
      </c>
      <c r="F60" s="183">
        <f>6370.09771565414*('2022 IR Data Book'!$A$5)</f>
        <v>6370.0977156541403</v>
      </c>
      <c r="G60" s="134">
        <f>SUM(C60:F60)</f>
        <v>168666.24219108975</v>
      </c>
    </row>
    <row r="61" spans="2:14" x14ac:dyDescent="0.2">
      <c r="B61" s="135" t="s">
        <v>83</v>
      </c>
      <c r="C61" s="186">
        <f>C60/C55</f>
        <v>0.12278764280390378</v>
      </c>
      <c r="D61" s="186">
        <f t="shared" ref="D61:G61" si="33">D60/D55</f>
        <v>5.5150757734800389E-2</v>
      </c>
      <c r="E61" s="186">
        <f t="shared" si="33"/>
        <v>0.25738357444617288</v>
      </c>
      <c r="F61" s="186">
        <f t="shared" si="33"/>
        <v>0.18409631733470072</v>
      </c>
      <c r="G61" s="186">
        <f t="shared" si="33"/>
        <v>0.11640730009090526</v>
      </c>
    </row>
    <row r="65" spans="2:10" x14ac:dyDescent="0.2">
      <c r="B65" s="132"/>
      <c r="C65" s="246" t="s">
        <v>85</v>
      </c>
      <c r="D65" s="246"/>
      <c r="E65" s="246"/>
      <c r="F65" s="246"/>
      <c r="G65" s="246"/>
    </row>
    <row r="66" spans="2:10" x14ac:dyDescent="0.2">
      <c r="B66" s="132"/>
      <c r="C66" s="145" t="s">
        <v>37</v>
      </c>
      <c r="D66" s="145" t="s">
        <v>35</v>
      </c>
      <c r="E66" s="145" t="s">
        <v>38</v>
      </c>
      <c r="F66" s="145" t="s">
        <v>39</v>
      </c>
      <c r="G66" s="145" t="s">
        <v>0</v>
      </c>
      <c r="J66" s="29"/>
    </row>
    <row r="67" spans="2:10" x14ac:dyDescent="0.2">
      <c r="B67" s="61" t="s">
        <v>40</v>
      </c>
      <c r="C67" s="133">
        <f>'Aramex Courier'!H7</f>
        <v>936163.10169475502</v>
      </c>
      <c r="D67" s="133">
        <f>'Aramex Freight'!H7</f>
        <v>432410.05970134598</v>
      </c>
      <c r="E67" s="133">
        <f>'Aramex Logistics'!H7</f>
        <v>111756.154186905</v>
      </c>
      <c r="F67" s="133">
        <f>36259.4351956508*('2022 IR Data Book'!$A$5)</f>
        <v>36259.435195650804</v>
      </c>
      <c r="G67" s="133">
        <f>SUM(C67:F67)</f>
        <v>1516588.7507786569</v>
      </c>
    </row>
    <row r="68" spans="2:10" x14ac:dyDescent="0.2">
      <c r="B68" s="62" t="s">
        <v>41</v>
      </c>
      <c r="C68" s="134">
        <f>'Aramex Courier'!H10</f>
        <v>267049.79247436207</v>
      </c>
      <c r="D68" s="134">
        <f>'Aramex Freight'!H9</f>
        <v>57900.631034185993</v>
      </c>
      <c r="E68" s="134">
        <f>'Aramex Logistics'!H9</f>
        <v>28444.5387291472</v>
      </c>
      <c r="F68" s="134">
        <f>25227.8134613751*('2022 IR Data Book'!$A$5)</f>
        <v>25227.813461375099</v>
      </c>
      <c r="G68" s="134">
        <f>SUM(C68:F68)</f>
        <v>378622.77569907031</v>
      </c>
    </row>
    <row r="69" spans="2:10" x14ac:dyDescent="0.2">
      <c r="B69" s="63" t="s">
        <v>78</v>
      </c>
      <c r="C69" s="184">
        <f>C68/C67</f>
        <v>0.28525989968085308</v>
      </c>
      <c r="D69" s="184">
        <f t="shared" ref="D69" si="34">D68/D67</f>
        <v>0.13390213695346589</v>
      </c>
      <c r="E69" s="184">
        <f t="shared" ref="E69" si="35">E68/E67</f>
        <v>0.25452324246569485</v>
      </c>
      <c r="F69" s="184">
        <f t="shared" ref="F69" si="36">F68/F67</f>
        <v>0.69575858877142938</v>
      </c>
      <c r="G69" s="185">
        <f t="shared" ref="G69" si="37">G68/G67</f>
        <v>0.24965421608506283</v>
      </c>
    </row>
    <row r="70" spans="2:10" x14ac:dyDescent="0.2">
      <c r="B70" s="63" t="s">
        <v>42</v>
      </c>
      <c r="C70" s="134">
        <f>'Aramex Courier'!H13</f>
        <v>40108.639869564999</v>
      </c>
      <c r="D70" s="134">
        <f>'Aramex Freight'!H12</f>
        <v>17191.527231988101</v>
      </c>
      <c r="E70" s="134">
        <f>'Aramex Logistics'!H12</f>
        <v>5179.8432427589596</v>
      </c>
      <c r="F70" s="134">
        <f>1086.56804460954*('2022 IR Data Book'!$A$5)</f>
        <v>1086.56804460954</v>
      </c>
      <c r="G70" s="134">
        <f>SUM(C70:F70)</f>
        <v>63566.578388921604</v>
      </c>
    </row>
    <row r="71" spans="2:10" x14ac:dyDescent="0.2">
      <c r="B71" s="63" t="s">
        <v>81</v>
      </c>
      <c r="C71" s="184">
        <f>C70/C67</f>
        <v>4.2843645297443916E-2</v>
      </c>
      <c r="D71" s="184">
        <f t="shared" ref="D71" si="38">D70/D67</f>
        <v>3.975746365350942E-2</v>
      </c>
      <c r="E71" s="184">
        <f t="shared" ref="E71" si="39">E70/E67</f>
        <v>4.634951229706781E-2</v>
      </c>
      <c r="F71" s="184">
        <f t="shared" ref="F71" si="40">F70/F67</f>
        <v>2.9966491169720982E-2</v>
      </c>
      <c r="G71" s="185">
        <f t="shared" ref="G71" si="41">G70/G67</f>
        <v>4.1914182969038136E-2</v>
      </c>
    </row>
    <row r="72" spans="2:10" x14ac:dyDescent="0.2">
      <c r="B72" s="63" t="s">
        <v>82</v>
      </c>
      <c r="C72" s="183">
        <f>'Aramex Courier'!H15</f>
        <v>98398.969368272999</v>
      </c>
      <c r="D72" s="183">
        <f>'Aramex Freight'!H14</f>
        <v>24721.107975710998</v>
      </c>
      <c r="E72" s="183">
        <f>'Aramex Logistics'!H14</f>
        <v>26975.438780177101</v>
      </c>
      <c r="F72" s="183">
        <f>5436.60428984679*('2022 IR Data Book'!$A$5)</f>
        <v>5436.6042898467904</v>
      </c>
      <c r="G72" s="134">
        <f>SUM(C72:F72)</f>
        <v>155532.12041400789</v>
      </c>
    </row>
    <row r="73" spans="2:10" x14ac:dyDescent="0.2">
      <c r="B73" s="135" t="s">
        <v>83</v>
      </c>
      <c r="C73" s="186">
        <f>C72/C67</f>
        <v>0.10510878840464803</v>
      </c>
      <c r="D73" s="186">
        <f t="shared" ref="D73" si="42">D72/D67</f>
        <v>5.7170520021632254E-2</v>
      </c>
      <c r="E73" s="186">
        <f t="shared" ref="E73" si="43">E72/E67</f>
        <v>0.24137765813829287</v>
      </c>
      <c r="F73" s="186">
        <f t="shared" ref="F73" si="44">F72/F67</f>
        <v>0.14993626515448019</v>
      </c>
      <c r="G73" s="186">
        <f t="shared" ref="G73" si="45">G72/G67</f>
        <v>0.10255391933650673</v>
      </c>
    </row>
  </sheetData>
  <mergeCells count="10">
    <mergeCell ref="C53:G53"/>
    <mergeCell ref="C65:G65"/>
    <mergeCell ref="C42:G42"/>
    <mergeCell ref="J42:N42"/>
    <mergeCell ref="C5:G5"/>
    <mergeCell ref="J5:N5"/>
    <mergeCell ref="C18:G18"/>
    <mergeCell ref="J18:N18"/>
    <mergeCell ref="C31:G31"/>
    <mergeCell ref="J31:N31"/>
  </mergeCells>
  <pageMargins left="0.7" right="0.7" top="0.75" bottom="0.75" header="0.3" footer="0.3"/>
  <pageSetup paperSize="9" scale="46" orientation="portrait" r:id="rId1"/>
  <ignoredErrors>
    <ignoredError sqref="G9:G11 N9:N11 G22:G24 N22:N24 N35:N37 G35:G37 G46:G48 N46:N48 G57:G59 G69:G71" 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F61EF8-9002-483C-8197-1A5536EBCB44}">
  <dimension ref="A1:N35"/>
  <sheetViews>
    <sheetView showGridLines="0" zoomScaleNormal="100" workbookViewId="0">
      <pane xSplit="2" ySplit="4" topLeftCell="E5" activePane="bottomRight" state="frozen"/>
      <selection pane="topRight" activeCell="C1" sqref="C1"/>
      <selection pane="bottomLeft" activeCell="A5" sqref="A5"/>
      <selection pane="bottomRight" activeCell="S35" sqref="S35"/>
    </sheetView>
  </sheetViews>
  <sheetFormatPr defaultColWidth="9.140625" defaultRowHeight="12.75" x14ac:dyDescent="0.2"/>
  <cols>
    <col min="1" max="1" width="5.42578125" style="1" customWidth="1"/>
    <col min="2" max="2" width="47.28515625" style="1" customWidth="1"/>
    <col min="3" max="5" width="10" style="1" bestFit="1" customWidth="1"/>
    <col min="6" max="7" width="12" style="1" customWidth="1"/>
    <col min="8" max="8" width="8.7109375" style="1" customWidth="1"/>
    <col min="9" max="9" width="39" style="19" bestFit="1" customWidth="1"/>
    <col min="10" max="10" width="9" style="1" bestFit="1" customWidth="1"/>
    <col min="11" max="11" width="9.5703125" style="1" bestFit="1" customWidth="1"/>
    <col min="12" max="12" width="10.140625" style="1" customWidth="1"/>
    <col min="13" max="13" width="9.140625" style="1"/>
    <col min="14" max="14" width="12" style="1" bestFit="1" customWidth="1"/>
    <col min="15" max="16384" width="9.140625" style="1"/>
  </cols>
  <sheetData>
    <row r="1" spans="1:14" x14ac:dyDescent="0.2">
      <c r="A1" s="188">
        <f>'2022 IR Data Book'!$A$5</f>
        <v>1</v>
      </c>
      <c r="C1" s="2"/>
      <c r="D1" s="2"/>
      <c r="E1" s="2"/>
      <c r="F1" s="2"/>
      <c r="G1" s="2"/>
    </row>
    <row r="2" spans="1:14" x14ac:dyDescent="0.2">
      <c r="B2" s="3" t="s">
        <v>295</v>
      </c>
      <c r="C2" s="4"/>
      <c r="D2" s="4"/>
      <c r="E2" s="4"/>
      <c r="F2" s="4"/>
      <c r="G2" s="4"/>
    </row>
    <row r="4" spans="1:14" ht="25.5" x14ac:dyDescent="0.2">
      <c r="B4" s="98" t="s">
        <v>40</v>
      </c>
      <c r="C4" s="99" t="s">
        <v>1</v>
      </c>
      <c r="D4" s="99" t="s">
        <v>2</v>
      </c>
      <c r="E4" s="99" t="s">
        <v>3</v>
      </c>
      <c r="F4" s="99" t="s">
        <v>4</v>
      </c>
      <c r="G4" s="100" t="s">
        <v>5</v>
      </c>
      <c r="I4" s="101" t="s">
        <v>100</v>
      </c>
      <c r="J4" s="102" t="s">
        <v>1</v>
      </c>
      <c r="K4" s="102" t="s">
        <v>2</v>
      </c>
      <c r="L4" s="102" t="s">
        <v>3</v>
      </c>
      <c r="M4" s="102" t="s">
        <v>4</v>
      </c>
      <c r="N4" s="103" t="s">
        <v>5</v>
      </c>
    </row>
    <row r="5" spans="1:14" x14ac:dyDescent="0.2">
      <c r="B5" s="15" t="s">
        <v>101</v>
      </c>
      <c r="C5" s="5">
        <f>C6+C7</f>
        <v>765789.83305916796</v>
      </c>
      <c r="D5" s="5">
        <f t="shared" ref="D5:F5" si="0">D6+D7</f>
        <v>789584.94244478003</v>
      </c>
      <c r="E5" s="5">
        <f t="shared" si="0"/>
        <v>796894.394521776</v>
      </c>
      <c r="F5" s="5">
        <f t="shared" si="0"/>
        <v>971738.25191043899</v>
      </c>
      <c r="G5" s="7">
        <f>SUM(C5:F5)</f>
        <v>3324007.4219361627</v>
      </c>
      <c r="I5" s="104" t="s">
        <v>102</v>
      </c>
      <c r="J5" s="105">
        <v>20</v>
      </c>
      <c r="K5" s="105">
        <v>20</v>
      </c>
      <c r="L5" s="105">
        <v>22</v>
      </c>
      <c r="M5" s="106">
        <v>25</v>
      </c>
      <c r="N5" s="107">
        <v>88</v>
      </c>
    </row>
    <row r="6" spans="1:14" x14ac:dyDescent="0.2">
      <c r="B6" s="17" t="s">
        <v>34</v>
      </c>
      <c r="C6" s="8">
        <f>500411.542893547*('2022 IR Data Book'!$A$5)</f>
        <v>500411.54289354698</v>
      </c>
      <c r="D6" s="8">
        <f>527816.532850836*('2022 IR Data Book'!$A$5)</f>
        <v>527816.53285083605</v>
      </c>
      <c r="E6" s="8">
        <f>542630.923505683*('2022 IR Data Book'!$A$5)</f>
        <v>542630.92350568296</v>
      </c>
      <c r="F6" s="9">
        <f>701828.936519285*('2022 IR Data Book'!$A$5)</f>
        <v>701828.93651928497</v>
      </c>
      <c r="G6" s="10">
        <f>SUM(C6:F6)</f>
        <v>2272687.9357693512</v>
      </c>
      <c r="I6" s="108" t="s">
        <v>90</v>
      </c>
      <c r="J6" s="109">
        <v>5</v>
      </c>
      <c r="K6" s="109">
        <v>5</v>
      </c>
      <c r="L6" s="109">
        <v>5</v>
      </c>
      <c r="M6" s="110">
        <v>6</v>
      </c>
      <c r="N6" s="111">
        <v>21</v>
      </c>
    </row>
    <row r="7" spans="1:14" x14ac:dyDescent="0.2">
      <c r="B7" s="18" t="s">
        <v>36</v>
      </c>
      <c r="C7" s="5">
        <f>265378.290165621*('2022 IR Data Book'!$A$5)</f>
        <v>265378.29016562097</v>
      </c>
      <c r="D7" s="5">
        <f>261768.409593944*('2022 IR Data Book'!$A$5)</f>
        <v>261768.409593944</v>
      </c>
      <c r="E7" s="5">
        <f>254263.471016093*('2022 IR Data Book'!$A$5)</f>
        <v>254263.47101609301</v>
      </c>
      <c r="F7" s="6">
        <f>269909.315391154*('2022 IR Data Book'!$A$5)</f>
        <v>269909.31539115403</v>
      </c>
      <c r="G7" s="11">
        <f t="shared" ref="G7" si="1">SUM(C7:F7)</f>
        <v>1051319.486166812</v>
      </c>
      <c r="I7" s="112" t="s">
        <v>89</v>
      </c>
      <c r="J7" s="113">
        <v>15</v>
      </c>
      <c r="K7" s="113">
        <v>15</v>
      </c>
      <c r="L7" s="113">
        <v>17</v>
      </c>
      <c r="M7" s="114">
        <v>19</v>
      </c>
      <c r="N7" s="115">
        <v>67</v>
      </c>
    </row>
    <row r="8" spans="1:14" x14ac:dyDescent="0.2">
      <c r="B8" s="16"/>
      <c r="C8" s="12"/>
      <c r="D8" s="12"/>
      <c r="E8" s="12"/>
      <c r="F8" s="12"/>
      <c r="G8" s="12"/>
      <c r="I8" s="116"/>
      <c r="J8" s="117"/>
      <c r="K8" s="117"/>
      <c r="L8" s="117"/>
      <c r="M8" s="117"/>
      <c r="N8" s="117"/>
    </row>
    <row r="9" spans="1:14" ht="25.5" x14ac:dyDescent="0.2">
      <c r="B9" s="98" t="s">
        <v>40</v>
      </c>
      <c r="C9" s="99" t="s">
        <v>6</v>
      </c>
      <c r="D9" s="99" t="s">
        <v>7</v>
      </c>
      <c r="E9" s="99" t="s">
        <v>8</v>
      </c>
      <c r="F9" s="99" t="s">
        <v>9</v>
      </c>
      <c r="G9" s="99" t="s">
        <v>10</v>
      </c>
      <c r="I9" s="101" t="s">
        <v>100</v>
      </c>
      <c r="J9" s="102" t="s">
        <v>6</v>
      </c>
      <c r="K9" s="102" t="s">
        <v>7</v>
      </c>
      <c r="L9" s="102" t="s">
        <v>8</v>
      </c>
      <c r="M9" s="102" t="s">
        <v>9</v>
      </c>
      <c r="N9" s="118" t="s">
        <v>10</v>
      </c>
    </row>
    <row r="10" spans="1:14" x14ac:dyDescent="0.2">
      <c r="B10" s="15" t="s">
        <v>101</v>
      </c>
      <c r="C10" s="5">
        <f>C11+C12</f>
        <v>789642.80461404799</v>
      </c>
      <c r="D10" s="5">
        <f t="shared" ref="D10:F10" si="2">D11+D12</f>
        <v>843529.30971220508</v>
      </c>
      <c r="E10" s="5">
        <f t="shared" si="2"/>
        <v>826897.60733428702</v>
      </c>
      <c r="F10" s="5">
        <f t="shared" si="2"/>
        <v>997389.02118452208</v>
      </c>
      <c r="G10" s="7">
        <f>SUM(C10:F10)</f>
        <v>3457458.7428450622</v>
      </c>
      <c r="I10" s="104" t="s">
        <v>102</v>
      </c>
      <c r="J10" s="119">
        <v>21</v>
      </c>
      <c r="K10" s="119">
        <v>23</v>
      </c>
      <c r="L10" s="119">
        <v>24</v>
      </c>
      <c r="M10" s="119">
        <v>29</v>
      </c>
      <c r="N10" s="120">
        <v>97</v>
      </c>
    </row>
    <row r="11" spans="1:14" x14ac:dyDescent="0.2">
      <c r="B11" s="17" t="s">
        <v>34</v>
      </c>
      <c r="C11" s="8">
        <f>533005.978333014*('2022 IR Data Book'!$A$5)</f>
        <v>533005.97833301395</v>
      </c>
      <c r="D11" s="8">
        <f>586348.531544673*('2022 IR Data Book'!$A$5)</f>
        <v>586348.53154467302</v>
      </c>
      <c r="E11" s="8">
        <f>556350.512051748*('2022 IR Data Book'!$A$5)</f>
        <v>556350.512051748</v>
      </c>
      <c r="F11" s="9">
        <f>673427.373818058*('2022 IR Data Book'!$A$5)</f>
        <v>673427.37381805805</v>
      </c>
      <c r="G11" s="10">
        <f>SUM(C11:F11)</f>
        <v>2349132.395747493</v>
      </c>
      <c r="I11" s="108" t="s">
        <v>90</v>
      </c>
      <c r="J11" s="109">
        <v>5</v>
      </c>
      <c r="K11" s="121">
        <v>6</v>
      </c>
      <c r="L11" s="121">
        <v>6</v>
      </c>
      <c r="M11" s="121">
        <v>7</v>
      </c>
      <c r="N11" s="122">
        <v>24</v>
      </c>
    </row>
    <row r="12" spans="1:14" x14ac:dyDescent="0.2">
      <c r="B12" s="18" t="s">
        <v>36</v>
      </c>
      <c r="C12" s="5">
        <f>256636.826281034*('2022 IR Data Book'!$A$5)</f>
        <v>256636.82628103401</v>
      </c>
      <c r="D12" s="5">
        <f>257180.778167532*('2022 IR Data Book'!$A$5)</f>
        <v>257180.778167532</v>
      </c>
      <c r="E12" s="5">
        <f>270547.095282539*('2022 IR Data Book'!$A$5)</f>
        <v>270547.09528253903</v>
      </c>
      <c r="F12" s="6">
        <f>323961.647366464*('2022 IR Data Book'!$A$5)</f>
        <v>323961.64736646402</v>
      </c>
      <c r="G12" s="11">
        <f t="shared" ref="G12" si="3">SUM(C12:F12)</f>
        <v>1108326.3470975691</v>
      </c>
      <c r="I12" s="112" t="s">
        <v>89</v>
      </c>
      <c r="J12" s="123">
        <v>16</v>
      </c>
      <c r="K12" s="123">
        <v>17</v>
      </c>
      <c r="L12" s="123">
        <v>18</v>
      </c>
      <c r="M12" s="123">
        <v>22</v>
      </c>
      <c r="N12" s="124">
        <v>73</v>
      </c>
    </row>
    <row r="13" spans="1:14" x14ac:dyDescent="0.2">
      <c r="B13" s="16"/>
      <c r="C13" s="12"/>
      <c r="D13" s="12"/>
      <c r="E13" s="12"/>
      <c r="F13" s="12"/>
      <c r="G13" s="12"/>
      <c r="I13" s="116"/>
      <c r="J13" s="117"/>
      <c r="K13" s="117"/>
      <c r="L13" s="117"/>
      <c r="M13" s="117"/>
      <c r="N13" s="117"/>
    </row>
    <row r="14" spans="1:14" ht="25.5" x14ac:dyDescent="0.2">
      <c r="B14" s="98" t="s">
        <v>40</v>
      </c>
      <c r="C14" s="99" t="s">
        <v>11</v>
      </c>
      <c r="D14" s="99" t="s">
        <v>12</v>
      </c>
      <c r="E14" s="99" t="s">
        <v>13</v>
      </c>
      <c r="F14" s="99" t="s">
        <v>14</v>
      </c>
      <c r="G14" s="99" t="s">
        <v>15</v>
      </c>
      <c r="I14" s="101" t="s">
        <v>100</v>
      </c>
      <c r="J14" s="102" t="s">
        <v>11</v>
      </c>
      <c r="K14" s="102" t="s">
        <v>12</v>
      </c>
      <c r="L14" s="102" t="s">
        <v>13</v>
      </c>
      <c r="M14" s="102" t="s">
        <v>14</v>
      </c>
      <c r="N14" s="118" t="s">
        <v>15</v>
      </c>
    </row>
    <row r="15" spans="1:14" x14ac:dyDescent="0.2">
      <c r="B15" s="15" t="s">
        <v>101</v>
      </c>
      <c r="C15" s="5">
        <f>C16+C17</f>
        <v>768414.06370854704</v>
      </c>
      <c r="D15" s="5">
        <f t="shared" ref="D15:F15" si="4">D16+D17</f>
        <v>918423.21058082604</v>
      </c>
      <c r="E15" s="5">
        <f t="shared" si="4"/>
        <v>1065472.356252905</v>
      </c>
      <c r="F15" s="5">
        <f t="shared" si="4"/>
        <v>1183087.843818913</v>
      </c>
      <c r="G15" s="7">
        <f>SUM(C15:F15)</f>
        <v>3935397.4743611915</v>
      </c>
      <c r="I15" s="104" t="s">
        <v>102</v>
      </c>
      <c r="J15" s="119">
        <v>24.89</v>
      </c>
      <c r="K15" s="119">
        <v>29</v>
      </c>
      <c r="L15" s="119">
        <v>32.616999999999997</v>
      </c>
      <c r="M15" s="119">
        <v>35</v>
      </c>
      <c r="N15" s="120">
        <v>121.50700000000001</v>
      </c>
    </row>
    <row r="16" spans="1:14" x14ac:dyDescent="0.2">
      <c r="B16" s="17" t="s">
        <v>34</v>
      </c>
      <c r="C16" s="8">
        <f>479423.365217863*('2022 IR Data Book'!$A$5)</f>
        <v>479423.365217863</v>
      </c>
      <c r="D16" s="8">
        <f>582164.588216127*('2022 IR Data Book'!$A$5)</f>
        <v>582164.58821612701</v>
      </c>
      <c r="E16" s="8">
        <f>715248.567909872*('2022 IR Data Book'!$A$5)</f>
        <v>715248.56790987204</v>
      </c>
      <c r="F16" s="9">
        <f>796492.326933316*('2022 IR Data Book'!$A$5)</f>
        <v>796492.32693331596</v>
      </c>
      <c r="G16" s="10">
        <f>SUM(C16:F16)</f>
        <v>2573328.8482771781</v>
      </c>
      <c r="I16" s="108" t="s">
        <v>90</v>
      </c>
      <c r="J16" s="121">
        <v>5.19</v>
      </c>
      <c r="K16" s="121">
        <v>6</v>
      </c>
      <c r="L16" s="121">
        <v>6.53</v>
      </c>
      <c r="M16" s="121">
        <v>7</v>
      </c>
      <c r="N16" s="122">
        <v>24.720000000000002</v>
      </c>
    </row>
    <row r="17" spans="2:14" x14ac:dyDescent="0.2">
      <c r="B17" s="18" t="s">
        <v>36</v>
      </c>
      <c r="C17" s="5">
        <f>288990.698490684*('2022 IR Data Book'!$A$5)</f>
        <v>288990.69849068398</v>
      </c>
      <c r="D17" s="5">
        <f>336258.622364699*('2022 IR Data Book'!$A$5)</f>
        <v>336258.62236469903</v>
      </c>
      <c r="E17" s="5">
        <f>350223.788343033*('2022 IR Data Book'!$A$5)</f>
        <v>350223.788343033</v>
      </c>
      <c r="F17" s="6">
        <f>386595.516885597*('2022 IR Data Book'!$A$5)</f>
        <v>386595.51688559703</v>
      </c>
      <c r="G17" s="11">
        <f t="shared" ref="G17" si="5">SUM(C17:F17)</f>
        <v>1362068.6260840131</v>
      </c>
      <c r="I17" s="112" t="s">
        <v>89</v>
      </c>
      <c r="J17" s="123">
        <v>19.7</v>
      </c>
      <c r="K17" s="123">
        <v>23</v>
      </c>
      <c r="L17" s="123">
        <v>26.087</v>
      </c>
      <c r="M17" s="123">
        <v>28</v>
      </c>
      <c r="N17" s="125">
        <v>96.787000000000006</v>
      </c>
    </row>
    <row r="18" spans="2:14" x14ac:dyDescent="0.2">
      <c r="B18" s="16"/>
      <c r="C18" s="12"/>
      <c r="D18" s="12"/>
      <c r="E18" s="12"/>
      <c r="F18" s="12"/>
      <c r="G18" s="12"/>
      <c r="I18" s="116"/>
      <c r="J18" s="117"/>
      <c r="K18" s="117"/>
      <c r="L18" s="117"/>
      <c r="M18" s="117"/>
      <c r="N18" s="117"/>
    </row>
    <row r="19" spans="2:14" ht="25.5" x14ac:dyDescent="0.2">
      <c r="B19" s="98" t="s">
        <v>40</v>
      </c>
      <c r="C19" s="99" t="s">
        <v>16</v>
      </c>
      <c r="D19" s="99" t="s">
        <v>17</v>
      </c>
      <c r="E19" s="99" t="s">
        <v>18</v>
      </c>
      <c r="F19" s="99" t="s">
        <v>19</v>
      </c>
      <c r="G19" s="99" t="s">
        <v>20</v>
      </c>
      <c r="I19" s="101" t="s">
        <v>100</v>
      </c>
      <c r="J19" s="102" t="s">
        <v>16</v>
      </c>
      <c r="K19" s="102" t="s">
        <v>17</v>
      </c>
      <c r="L19" s="102" t="s">
        <v>18</v>
      </c>
      <c r="M19" s="102" t="s">
        <v>19</v>
      </c>
      <c r="N19" s="118" t="s">
        <v>20</v>
      </c>
    </row>
    <row r="20" spans="2:14" x14ac:dyDescent="0.2">
      <c r="B20" s="15" t="s">
        <v>101</v>
      </c>
      <c r="C20" s="5">
        <f>C21+C22</f>
        <v>1002142.150091229</v>
      </c>
      <c r="D20" s="5">
        <f t="shared" ref="D20:F20" si="6">D21+D22</f>
        <v>1100781.4666448091</v>
      </c>
      <c r="E20" s="5">
        <f t="shared" si="6"/>
        <v>997394.707494976</v>
      </c>
      <c r="F20" s="5">
        <f t="shared" si="6"/>
        <v>1043643.7088922281</v>
      </c>
      <c r="G20" s="7">
        <f>SUM(C20:F20)</f>
        <v>4143962.0331232422</v>
      </c>
      <c r="I20" s="104" t="s">
        <v>102</v>
      </c>
      <c r="J20" s="119">
        <v>31.46</v>
      </c>
      <c r="K20" s="119">
        <v>33</v>
      </c>
      <c r="L20" s="119">
        <v>33.9</v>
      </c>
      <c r="M20" s="119">
        <v>35.489339000000001</v>
      </c>
      <c r="N20" s="120">
        <v>133.84933899999999</v>
      </c>
    </row>
    <row r="21" spans="2:14" x14ac:dyDescent="0.2">
      <c r="B21" s="17" t="s">
        <v>34</v>
      </c>
      <c r="C21" s="8">
        <f>646524.386045871*('2022 IR Data Book'!$A$5)</f>
        <v>646524.38604587095</v>
      </c>
      <c r="D21" s="8">
        <f>733555.542145953*('2022 IR Data Book'!$A$5)</f>
        <v>733555.54214595305</v>
      </c>
      <c r="E21" s="8">
        <f>603323.121420044*('2022 IR Data Book'!$A$5)</f>
        <v>603323.12142004399</v>
      </c>
      <c r="F21" s="9">
        <f>671392.92795456*('2022 IR Data Book'!$A$5)</f>
        <v>671392.92795456003</v>
      </c>
      <c r="G21" s="10">
        <f>SUM(C21:F21)</f>
        <v>2654795.977566428</v>
      </c>
      <c r="I21" s="108" t="s">
        <v>90</v>
      </c>
      <c r="J21" s="121">
        <v>6.2</v>
      </c>
      <c r="K21" s="121">
        <v>7.2</v>
      </c>
      <c r="L21" s="121">
        <v>6.3</v>
      </c>
      <c r="M21" s="126">
        <v>6.0524940000000003</v>
      </c>
      <c r="N21" s="127">
        <v>25.752493999999999</v>
      </c>
    </row>
    <row r="22" spans="2:14" x14ac:dyDescent="0.2">
      <c r="B22" s="18" t="s">
        <v>36</v>
      </c>
      <c r="C22" s="5">
        <f>355617.764045358*('2022 IR Data Book'!$A$5)</f>
        <v>355617.764045358</v>
      </c>
      <c r="D22" s="5">
        <f>367225.924498856*('2022 IR Data Book'!$A$5)</f>
        <v>367225.92449885601</v>
      </c>
      <c r="E22" s="5">
        <f>394071.586074932*('2022 IR Data Book'!$A$5)</f>
        <v>394071.58607493201</v>
      </c>
      <c r="F22" s="6">
        <f>372250.780937668*('2022 IR Data Book'!$A$5)</f>
        <v>372250.78093766799</v>
      </c>
      <c r="G22" s="11">
        <f t="shared" ref="G22" si="7">SUM(C22:F22)</f>
        <v>1489166.055556814</v>
      </c>
      <c r="I22" s="112" t="s">
        <v>89</v>
      </c>
      <c r="J22" s="123">
        <v>25.26</v>
      </c>
      <c r="K22" s="123">
        <v>25.8</v>
      </c>
      <c r="L22" s="128">
        <v>27.6</v>
      </c>
      <c r="M22" s="129">
        <v>29.436845000000002</v>
      </c>
      <c r="N22" s="125">
        <v>108.096845</v>
      </c>
    </row>
    <row r="23" spans="2:14" x14ac:dyDescent="0.2">
      <c r="B23" s="16"/>
      <c r="C23" s="12"/>
      <c r="D23" s="12"/>
      <c r="E23" s="12"/>
      <c r="F23" s="12"/>
      <c r="G23" s="12"/>
      <c r="I23" s="116"/>
      <c r="J23" s="117"/>
      <c r="K23" s="117"/>
      <c r="L23" s="117"/>
      <c r="M23" s="117"/>
      <c r="N23" s="117"/>
    </row>
    <row r="24" spans="2:14" x14ac:dyDescent="0.2">
      <c r="B24" s="98" t="s">
        <v>40</v>
      </c>
      <c r="C24" s="99" t="s">
        <v>28</v>
      </c>
      <c r="D24" s="99" t="s">
        <v>29</v>
      </c>
      <c r="E24" s="99" t="s">
        <v>30</v>
      </c>
      <c r="F24" s="99" t="s">
        <v>31</v>
      </c>
      <c r="G24" s="99" t="s">
        <v>32</v>
      </c>
      <c r="I24" s="101" t="s">
        <v>100</v>
      </c>
      <c r="J24" s="102" t="s">
        <v>28</v>
      </c>
      <c r="K24" s="102" t="s">
        <v>29</v>
      </c>
      <c r="L24" s="102" t="s">
        <v>30</v>
      </c>
      <c r="M24" s="102" t="s">
        <v>31</v>
      </c>
      <c r="N24" s="118" t="s">
        <v>32</v>
      </c>
    </row>
    <row r="25" spans="2:14" x14ac:dyDescent="0.2">
      <c r="B25" s="15" t="s">
        <v>101</v>
      </c>
      <c r="C25" s="5">
        <f>C26+C27</f>
        <v>911091.91866910702</v>
      </c>
      <c r="D25" s="5">
        <f t="shared" ref="D25:F25" si="8">D26+D27</f>
        <v>936163.10178239096</v>
      </c>
      <c r="E25" s="5">
        <f t="shared" si="8"/>
        <v>0</v>
      </c>
      <c r="F25" s="5">
        <f t="shared" si="8"/>
        <v>0</v>
      </c>
      <c r="G25" s="7">
        <f>SUM(C25:F25)</f>
        <v>1847255.020451498</v>
      </c>
      <c r="I25" s="104" t="s">
        <v>102</v>
      </c>
      <c r="J25" s="119">
        <f>J26+J27</f>
        <v>30.348113000000001</v>
      </c>
      <c r="K25" s="119">
        <f>K26+K27</f>
        <v>30.031293999999999</v>
      </c>
      <c r="L25" s="119">
        <f>L26+L27</f>
        <v>0</v>
      </c>
      <c r="M25" s="119">
        <f t="shared" ref="M25:N25" si="9">M26+M27</f>
        <v>0</v>
      </c>
      <c r="N25" s="119">
        <f t="shared" si="9"/>
        <v>0</v>
      </c>
    </row>
    <row r="26" spans="2:14" x14ac:dyDescent="0.2">
      <c r="B26" s="17" t="s">
        <v>34</v>
      </c>
      <c r="C26" s="8">
        <f>557745.393557364*('2022 IR Data Book'!$A$5)</f>
        <v>557745.393557364</v>
      </c>
      <c r="D26" s="8">
        <f>587090.845982728*('2022 IR Data Book'!$A$5)</f>
        <v>587090.84598272794</v>
      </c>
      <c r="E26" s="8">
        <f>0*('2022 IR Data Book'!$A$5)</f>
        <v>0</v>
      </c>
      <c r="F26" s="9">
        <f>0*('2022 IR Data Book'!$A$5)</f>
        <v>0</v>
      </c>
      <c r="G26" s="10">
        <f>SUM(C26:F26)</f>
        <v>1144836.2395400919</v>
      </c>
      <c r="I26" s="108" t="s">
        <v>90</v>
      </c>
      <c r="J26" s="121">
        <v>5.3397690000000004</v>
      </c>
      <c r="K26" s="121">
        <v>5.9301339999999998</v>
      </c>
      <c r="L26" s="121"/>
      <c r="M26" s="126"/>
      <c r="N26" s="127"/>
    </row>
    <row r="27" spans="2:14" x14ac:dyDescent="0.2">
      <c r="B27" s="18" t="s">
        <v>36</v>
      </c>
      <c r="C27" s="5">
        <f>353346.525111743*('2022 IR Data Book'!$A$5)</f>
        <v>353346.52511174302</v>
      </c>
      <c r="D27" s="5">
        <f>349072.255799663*('2022 IR Data Book'!$A$5)</f>
        <v>349072.25579966302</v>
      </c>
      <c r="E27" s="5">
        <f>0*('2022 IR Data Book'!$A$5)</f>
        <v>0</v>
      </c>
      <c r="F27" s="6">
        <f>0*('2022 IR Data Book'!$A$5)</f>
        <v>0</v>
      </c>
      <c r="G27" s="11">
        <f t="shared" ref="G27" si="10">SUM(C27:F27)</f>
        <v>702418.78091140604</v>
      </c>
      <c r="H27" s="4"/>
      <c r="I27" s="112" t="s">
        <v>89</v>
      </c>
      <c r="J27" s="123">
        <v>25.008344000000001</v>
      </c>
      <c r="K27" s="123">
        <v>24.10116</v>
      </c>
      <c r="L27" s="128"/>
      <c r="M27" s="129"/>
      <c r="N27" s="129"/>
    </row>
    <row r="31" spans="2:14" x14ac:dyDescent="0.2">
      <c r="C31" s="4"/>
      <c r="D31" s="4"/>
      <c r="E31" s="4"/>
      <c r="F31" s="4"/>
      <c r="G31" s="4"/>
    </row>
    <row r="32" spans="2:14" x14ac:dyDescent="0.2">
      <c r="C32" s="4"/>
      <c r="D32" s="4"/>
    </row>
    <row r="34" spans="3:4" x14ac:dyDescent="0.2">
      <c r="C34" s="4"/>
      <c r="D34" s="4"/>
    </row>
    <row r="35" spans="3:4" x14ac:dyDescent="0.2">
      <c r="C35" s="4"/>
      <c r="D35" s="4"/>
    </row>
  </sheetData>
  <pageMargins left="0.7" right="0.7" top="0.75" bottom="0.75" header="0.3" footer="0.3"/>
  <pageSetup paperSize="9" scale="4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93B09D-8F59-4687-B8D2-95A4C8FAC1C0}">
  <dimension ref="B4:B17"/>
  <sheetViews>
    <sheetView showGridLines="0" workbookViewId="0">
      <selection activeCell="L29" sqref="L29"/>
    </sheetView>
  </sheetViews>
  <sheetFormatPr defaultRowHeight="12.75" x14ac:dyDescent="0.2"/>
  <cols>
    <col min="1" max="1" width="9.140625" style="21"/>
    <col min="2" max="2" width="9.140625" style="192"/>
    <col min="3" max="16384" width="9.140625" style="21"/>
  </cols>
  <sheetData>
    <row r="4" spans="2:2" s="160" customFormat="1" ht="15.75" x14ac:dyDescent="0.25">
      <c r="B4" s="241" t="s">
        <v>106</v>
      </c>
    </row>
    <row r="5" spans="2:2" s="160" customFormat="1" ht="15.75" x14ac:dyDescent="0.25">
      <c r="B5" s="242" t="s">
        <v>107</v>
      </c>
    </row>
    <row r="8" spans="2:2" x14ac:dyDescent="0.2">
      <c r="B8" s="20" t="s">
        <v>108</v>
      </c>
    </row>
    <row r="9" spans="2:2" x14ac:dyDescent="0.2">
      <c r="B9" s="20" t="s">
        <v>109</v>
      </c>
    </row>
    <row r="10" spans="2:2" x14ac:dyDescent="0.2">
      <c r="B10" s="20" t="s">
        <v>110</v>
      </c>
    </row>
    <row r="11" spans="2:2" x14ac:dyDescent="0.2">
      <c r="B11" s="20" t="s">
        <v>111</v>
      </c>
    </row>
    <row r="12" spans="2:2" x14ac:dyDescent="0.2">
      <c r="B12" s="193" t="s">
        <v>112</v>
      </c>
    </row>
    <row r="13" spans="2:2" x14ac:dyDescent="0.2">
      <c r="B13" s="193" t="s">
        <v>113</v>
      </c>
    </row>
    <row r="14" spans="2:2" x14ac:dyDescent="0.2">
      <c r="B14" s="20" t="s">
        <v>114</v>
      </c>
    </row>
    <row r="15" spans="2:2" x14ac:dyDescent="0.2">
      <c r="B15" s="193" t="s">
        <v>116</v>
      </c>
    </row>
    <row r="16" spans="2:2" x14ac:dyDescent="0.2">
      <c r="B16" s="193" t="s">
        <v>115</v>
      </c>
    </row>
    <row r="17" spans="2:2" x14ac:dyDescent="0.2">
      <c r="B17" s="193" t="s">
        <v>294</v>
      </c>
    </row>
  </sheetData>
  <hyperlinks>
    <hyperlink ref="B8" location="'Group Profit &amp; Loss Stm'!A1" display="Income Statement" xr:uid="{5E77029C-D4B0-46F2-A567-1DDA09D60EFD}"/>
    <hyperlink ref="B9" location="'Group Balance Sheet'!A1" display="Balance Sheet" xr:uid="{EF42CBB8-3361-49C5-8312-EE6A036945FA}"/>
    <hyperlink ref="B10" location="'Group CF and CAPEX'!A1" display="Cashflow and Capex " xr:uid="{EFB99A7D-2BF4-47E8-AA75-A43E5A1E2DEA}"/>
    <hyperlink ref="B11" location="'Aramex Courier'!A1" display="Aramex Courier Product " xr:uid="{B2EF911D-3C6D-4DFB-86FC-BDFE2AD5BD16}"/>
    <hyperlink ref="B12" location="'Aramex Freight'!A1" display="Aramex Freight Product" xr:uid="{5E637270-6392-4993-A721-9CFED8ECAA03}"/>
    <hyperlink ref="B13" location="'Aramex Logistics'!A1" display="Aramex Logistics Product" xr:uid="{2C25CBA1-856C-49A6-BAC4-242B1B96DE49}"/>
    <hyperlink ref="B14" location="'Regional Breakdown'!A1" display="Regional Breakdown" xr:uid="{F61F82BE-0B45-4964-AAF8-19A0A950DC76}"/>
    <hyperlink ref="B15" location="'GP Recflassification'!A1" display="GP Reclassification 2020 " xr:uid="{12AE498F-2996-4330-9F2A-358940DA04DA}"/>
    <hyperlink ref="B16" location="Historic_Product_Breakdown!A1" display="Historic Product Breakdown Key Financials" xr:uid="{49083360-0C32-490F-B6A2-1F03951C06F7}"/>
    <hyperlink ref="B17" location="'Historic Express Rev_Vol_ Data'!A1" display="Historic Express Volume Data " xr:uid="{5C361A7C-BA0D-4CA0-85CC-C88649AD6A83}"/>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E72C2E-26A6-42AF-B17B-CE7FE55CFB4A}">
  <dimension ref="A1:P49"/>
  <sheetViews>
    <sheetView showGridLines="0" workbookViewId="0">
      <pane xSplit="2" ySplit="7" topLeftCell="C8" activePane="bottomRight" state="frozen"/>
      <selection pane="topRight" activeCell="C1" sqref="C1"/>
      <selection pane="bottomLeft" activeCell="A8" sqref="A8"/>
      <selection pane="bottomRight" activeCell="C8" sqref="C8"/>
    </sheetView>
  </sheetViews>
  <sheetFormatPr defaultRowHeight="12.75" x14ac:dyDescent="0.2"/>
  <cols>
    <col min="1" max="1" width="4.85546875" style="21" customWidth="1"/>
    <col min="2" max="2" width="66.85546875" style="21" customWidth="1"/>
    <col min="3" max="5" width="10" style="21" bestFit="1" customWidth="1"/>
    <col min="6" max="6" width="10" style="21" customWidth="1"/>
    <col min="7" max="9" width="10" style="21" bestFit="1" customWidth="1"/>
    <col min="10" max="10" width="15" style="21" customWidth="1"/>
    <col min="11" max="11" width="11.140625" style="21" customWidth="1"/>
    <col min="12" max="12" width="15.5703125" style="21" customWidth="1"/>
    <col min="13" max="13" width="6.85546875" style="21" bestFit="1" customWidth="1"/>
    <col min="14" max="16384" width="9.140625" style="21"/>
  </cols>
  <sheetData>
    <row r="1" spans="1:16" x14ac:dyDescent="0.2">
      <c r="A1" s="189">
        <f>'2022 IR Data Book'!$A$5</f>
        <v>1</v>
      </c>
    </row>
    <row r="3" spans="1:16" ht="15.75" x14ac:dyDescent="0.25">
      <c r="B3" s="144" t="s">
        <v>252</v>
      </c>
    </row>
    <row r="5" spans="1:16" x14ac:dyDescent="0.2">
      <c r="B5" s="138" t="s">
        <v>74</v>
      </c>
      <c r="C5" s="139"/>
      <c r="D5" s="139"/>
      <c r="E5" s="139"/>
      <c r="F5" s="139"/>
      <c r="G5" s="139"/>
      <c r="H5" s="139"/>
      <c r="I5" s="139"/>
      <c r="J5" s="243" t="s">
        <v>75</v>
      </c>
      <c r="K5" s="243"/>
      <c r="L5" s="243"/>
      <c r="M5" s="243"/>
    </row>
    <row r="6" spans="1:16" ht="25.5" x14ac:dyDescent="0.2">
      <c r="B6" s="140"/>
      <c r="C6" s="141" t="s">
        <v>44</v>
      </c>
      <c r="D6" s="141" t="s">
        <v>45</v>
      </c>
      <c r="E6" s="141" t="s">
        <v>47</v>
      </c>
      <c r="F6" s="141" t="s">
        <v>49</v>
      </c>
      <c r="G6" s="141" t="s">
        <v>144</v>
      </c>
      <c r="H6" s="141" t="s">
        <v>84</v>
      </c>
      <c r="I6" s="141" t="s">
        <v>85</v>
      </c>
      <c r="J6" s="142" t="s">
        <v>86</v>
      </c>
      <c r="K6" s="141" t="s">
        <v>57</v>
      </c>
      <c r="L6" s="142" t="s">
        <v>95</v>
      </c>
      <c r="M6" s="141" t="s">
        <v>57</v>
      </c>
    </row>
    <row r="7" spans="1:16" ht="15" x14ac:dyDescent="0.25">
      <c r="B7" s="22" t="s">
        <v>117</v>
      </c>
    </row>
    <row r="8" spans="1:16" x14ac:dyDescent="0.2">
      <c r="B8" s="23" t="s">
        <v>118</v>
      </c>
      <c r="C8" s="29">
        <f>((1424933))*('2022 IR Data Book'!$A$5)</f>
        <v>1424933</v>
      </c>
      <c r="D8" s="29">
        <f>(1570923)*('2022 IR Data Book'!$A$5)</f>
        <v>1570923</v>
      </c>
      <c r="E8" s="29">
        <f>(1461404)*('2022 IR Data Book'!$A$5)</f>
        <v>1461404</v>
      </c>
      <c r="F8" s="29">
        <f>G8-C8-D8-E8</f>
        <v>1611545</v>
      </c>
      <c r="G8" s="29">
        <f>(6068805)*('2022 IR Data Book'!$A$5)</f>
        <v>6068805</v>
      </c>
      <c r="H8" s="29">
        <f>(1448931.82909692)*('2022 IR Data Book'!$A$5)</f>
        <v>1448931.8290969201</v>
      </c>
      <c r="I8" s="29">
        <f>(1516588.75107447)*('2022 IR Data Book'!$A$5)</f>
        <v>1516588.7510744701</v>
      </c>
      <c r="J8" s="29">
        <f t="shared" ref="J8:J13" si="0">I8-D8</f>
        <v>-54334.248925529886</v>
      </c>
      <c r="K8" s="33">
        <f t="shared" ref="K8:K10" si="1">J8/D8</f>
        <v>-3.458746795707357E-2</v>
      </c>
      <c r="L8" s="29">
        <f t="shared" ref="L8:L13" si="2">(H8+I8)-(C8+D8)</f>
        <v>-30335.419828609563</v>
      </c>
      <c r="M8" s="33">
        <f t="shared" ref="M8:M10" si="3">L8/(C8+D8)</f>
        <v>-1.012579370590895E-2</v>
      </c>
    </row>
    <row r="9" spans="1:16" x14ac:dyDescent="0.2">
      <c r="B9" s="23" t="s">
        <v>119</v>
      </c>
      <c r="C9" s="29">
        <f>-1066286*('2022 IR Data Book'!$A$5)</f>
        <v>-1066286</v>
      </c>
      <c r="D9" s="29">
        <f>-1182258*('2022 IR Data Book'!$A$5)</f>
        <v>-1182258</v>
      </c>
      <c r="E9" s="29">
        <f>-1105324*('2022 IR Data Book'!$A$5)</f>
        <v>-1105324</v>
      </c>
      <c r="F9" s="29">
        <f>G9-C9-D9-E9</f>
        <v>-1284070</v>
      </c>
      <c r="G9" s="29">
        <f>(-4637938)*('2022 IR Data Book'!$A$5)</f>
        <v>-4637938</v>
      </c>
      <c r="H9" s="29">
        <f>-1104831.60806885*('2022 IR Data Book'!$A$5)</f>
        <v>-1104831.6080688499</v>
      </c>
      <c r="I9" s="29">
        <f>-1137965.97137327*('2022 IR Data Book'!$A$5)</f>
        <v>-1137965.97137327</v>
      </c>
      <c r="J9" s="37">
        <f t="shared" si="0"/>
        <v>44292.028626729967</v>
      </c>
      <c r="K9" s="38">
        <f>-J9/D9</f>
        <v>3.7463928031554843E-2</v>
      </c>
      <c r="L9" s="37">
        <f t="shared" si="2"/>
        <v>5746.4205578798428</v>
      </c>
      <c r="M9" s="38">
        <f>-L9/(C9+D9)</f>
        <v>2.5556184614932342E-3</v>
      </c>
    </row>
    <row r="10" spans="1:16" x14ac:dyDescent="0.2">
      <c r="B10" s="24" t="s">
        <v>64</v>
      </c>
      <c r="C10" s="30">
        <f>C8+C9</f>
        <v>358647</v>
      </c>
      <c r="D10" s="30">
        <f>D8+D9</f>
        <v>388665</v>
      </c>
      <c r="E10" s="30">
        <f t="shared" ref="E10:G10" si="4">E8+E9</f>
        <v>356080</v>
      </c>
      <c r="F10" s="30">
        <f t="shared" si="4"/>
        <v>327475</v>
      </c>
      <c r="G10" s="30">
        <f t="shared" si="4"/>
        <v>1430867</v>
      </c>
      <c r="H10" s="30">
        <f>H8+H9</f>
        <v>344100.2210280702</v>
      </c>
      <c r="I10" s="30">
        <f>I8+I9</f>
        <v>378622.77970120008</v>
      </c>
      <c r="J10" s="29">
        <f t="shared" si="0"/>
        <v>-10042.220298799919</v>
      </c>
      <c r="K10" s="33">
        <f t="shared" si="1"/>
        <v>-2.5837727345657362E-2</v>
      </c>
      <c r="L10" s="29">
        <f t="shared" si="2"/>
        <v>-24588.999270729721</v>
      </c>
      <c r="M10" s="33">
        <f t="shared" si="3"/>
        <v>-3.290325763634161E-2</v>
      </c>
    </row>
    <row r="11" spans="1:16" x14ac:dyDescent="0.2">
      <c r="B11" s="23" t="s">
        <v>120</v>
      </c>
      <c r="C11" s="29">
        <f>-67400*('2022 IR Data Book'!$A$5)</f>
        <v>-67400</v>
      </c>
      <c r="D11" s="29">
        <f>-77114*('2022 IR Data Book'!$A$5)</f>
        <v>-77114</v>
      </c>
      <c r="E11" s="29">
        <f>-62964*('2022 IR Data Book'!$A$5)</f>
        <v>-62964</v>
      </c>
      <c r="F11" s="29">
        <f t="shared" ref="F11:F14" si="5">G11-C11-D11-E11</f>
        <v>-65030</v>
      </c>
      <c r="G11" s="29">
        <f>(-272508)*('2022 IR Data Book'!$A$5)</f>
        <v>-272508</v>
      </c>
      <c r="H11" s="29">
        <f>-58785.3492673848*('2022 IR Data Book'!$A$5)</f>
        <v>-58785.349267384801</v>
      </c>
      <c r="I11" s="29">
        <f>-65139.864353484*('2022 IR Data Book'!$A$5)</f>
        <v>-65139.864353484001</v>
      </c>
      <c r="J11" s="29">
        <f t="shared" si="0"/>
        <v>11974.135646515999</v>
      </c>
      <c r="K11" s="33">
        <f>-J11/D11</f>
        <v>0.15527836250896074</v>
      </c>
      <c r="L11" s="29">
        <f t="shared" si="2"/>
        <v>20588.786379131197</v>
      </c>
      <c r="M11" s="33">
        <f>-L11/(C11+D11)</f>
        <v>0.14246914748142878</v>
      </c>
    </row>
    <row r="12" spans="1:16" x14ac:dyDescent="0.2">
      <c r="B12" s="25" t="s">
        <v>121</v>
      </c>
      <c r="C12" s="29">
        <f>-3646*('2022 IR Data Book'!$A$5)</f>
        <v>-3646</v>
      </c>
      <c r="D12" s="194">
        <f>-5016*('2022 IR Data Book'!$A$5)</f>
        <v>-5016</v>
      </c>
      <c r="E12" s="29">
        <f>-6363*('2022 IR Data Book'!$A$5)</f>
        <v>-6363</v>
      </c>
      <c r="F12" s="29">
        <f t="shared" si="5"/>
        <v>-1522</v>
      </c>
      <c r="G12" s="29">
        <f>(-15635-912)*('2022 IR Data Book'!$A$5)</f>
        <v>-16547</v>
      </c>
      <c r="H12" s="29">
        <f>-4547.01664062866*('2022 IR Data Book'!$A$5)</f>
        <v>-4547.0166406286598</v>
      </c>
      <c r="I12" s="29">
        <f>-4758.01804787734*('2022 IR Data Book'!$A$5)</f>
        <v>-4758.01804787734</v>
      </c>
      <c r="J12" s="29">
        <f t="shared" si="0"/>
        <v>257.98195212266</v>
      </c>
      <c r="K12" s="33">
        <f>-J12/D12</f>
        <v>5.1431808636893943E-2</v>
      </c>
      <c r="L12" s="29">
        <f t="shared" si="2"/>
        <v>-643.03468850599893</v>
      </c>
      <c r="M12" s="33">
        <f>-L12/(C12+D12)</f>
        <v>-7.4236283595705263E-2</v>
      </c>
      <c r="O12" s="29"/>
      <c r="P12" s="29"/>
    </row>
    <row r="13" spans="1:16" x14ac:dyDescent="0.2">
      <c r="B13" s="25" t="s">
        <v>122</v>
      </c>
      <c r="C13" s="29">
        <f>-216289*('2022 IR Data Book'!$A$5)</f>
        <v>-216289</v>
      </c>
      <c r="D13" s="194">
        <f>-213497*('2022 IR Data Book'!$A$5)</f>
        <v>-213497</v>
      </c>
      <c r="E13" s="29">
        <f>-220767*('2022 IR Data Book'!$A$5)</f>
        <v>-220767</v>
      </c>
      <c r="F13" s="29">
        <f t="shared" si="5"/>
        <v>-237101</v>
      </c>
      <c r="G13" s="29">
        <f>-887654*('2022 IR Data Book'!$A$5)</f>
        <v>-887654</v>
      </c>
      <c r="H13" s="29">
        <f>-214112.877240882*('2022 IR Data Book'!$A$5)</f>
        <v>-214112.87724088199</v>
      </c>
      <c r="I13" s="29">
        <f>-234187.438032882*('2022 IR Data Book'!$A$5)</f>
        <v>-234187.438032882</v>
      </c>
      <c r="J13" s="29">
        <f t="shared" si="0"/>
        <v>-20690.438032881997</v>
      </c>
      <c r="K13" s="33">
        <f>-J13/D13</f>
        <v>-9.6912078543876484E-2</v>
      </c>
      <c r="L13" s="29">
        <f t="shared" si="2"/>
        <v>-18514.315273763961</v>
      </c>
      <c r="M13" s="33">
        <f>-L13/(C13+D13)</f>
        <v>-4.3077985959905536E-2</v>
      </c>
      <c r="O13" s="29"/>
      <c r="P13" s="29"/>
    </row>
    <row r="14" spans="1:16" x14ac:dyDescent="0.2">
      <c r="B14" s="21" t="s">
        <v>123</v>
      </c>
      <c r="C14" s="29">
        <f>0*('2022 IR Data Book'!$A$5)</f>
        <v>0</v>
      </c>
      <c r="D14" s="29">
        <f>0*('2022 IR Data Book'!$A$5)</f>
        <v>0</v>
      </c>
      <c r="E14" s="29">
        <f>6611*('2022 IR Data Book'!$A$5)</f>
        <v>6611</v>
      </c>
      <c r="F14" s="29">
        <f t="shared" si="5"/>
        <v>27056</v>
      </c>
      <c r="G14" s="29">
        <f>33667*('2022 IR Data Book'!$A$5)</f>
        <v>33667</v>
      </c>
      <c r="H14" s="29">
        <f>0*('2022 IR Data Book'!$A$5)</f>
        <v>0</v>
      </c>
      <c r="I14" s="29">
        <f>0*('2022 IR Data Book'!$A$5)</f>
        <v>0</v>
      </c>
      <c r="J14" s="29"/>
      <c r="K14" s="33"/>
      <c r="L14" s="29"/>
      <c r="M14" s="33"/>
    </row>
    <row r="15" spans="1:16" x14ac:dyDescent="0.2">
      <c r="B15" s="25" t="s">
        <v>124</v>
      </c>
      <c r="C15" s="29">
        <f>8143*('2022 IR Data Book'!$A$5)</f>
        <v>8143</v>
      </c>
      <c r="D15" s="29">
        <f>6514*('2022 IR Data Book'!$A$5)</f>
        <v>6514</v>
      </c>
      <c r="E15" s="29">
        <f>(-4579)*('2022 IR Data Book'!$A$5)</f>
        <v>-4579</v>
      </c>
      <c r="F15" s="29">
        <f>G15-C15-D15-E15</f>
        <v>7771</v>
      </c>
      <c r="G15" s="29">
        <f>(17849)*('2022 IR Data Book'!$A$5)</f>
        <v>17849</v>
      </c>
      <c r="H15" s="29">
        <f>8351.413296422*('2022 IR Data Book'!$A$5)</f>
        <v>8351.4132964220007</v>
      </c>
      <c r="I15" s="37">
        <f>-10969.3359538721*('2022 IR Data Book'!$A$5)</f>
        <v>-10969.3359538721</v>
      </c>
      <c r="J15" s="37">
        <f>I15-D15</f>
        <v>-17483.335953872098</v>
      </c>
      <c r="K15" s="38">
        <f>J15/D15</f>
        <v>-2.6839631491974361</v>
      </c>
      <c r="L15" s="37">
        <f>(H15+I15)-(C15+D15)</f>
        <v>-17274.922657450101</v>
      </c>
      <c r="M15" s="38">
        <f>L15/(C15+D15)</f>
        <v>-1.1786124484853722</v>
      </c>
    </row>
    <row r="16" spans="1:16" x14ac:dyDescent="0.2">
      <c r="B16" s="26" t="s">
        <v>125</v>
      </c>
      <c r="C16" s="30">
        <f t="shared" ref="C16:I16" si="6">SUM(C10:C15)</f>
        <v>79455</v>
      </c>
      <c r="D16" s="30">
        <f t="shared" si="6"/>
        <v>99552</v>
      </c>
      <c r="E16" s="30">
        <f t="shared" si="6"/>
        <v>68018</v>
      </c>
      <c r="F16" s="30">
        <f t="shared" si="6"/>
        <v>58649</v>
      </c>
      <c r="G16" s="30">
        <f t="shared" si="6"/>
        <v>305674</v>
      </c>
      <c r="H16" s="30">
        <f t="shared" si="6"/>
        <v>75006.391175596727</v>
      </c>
      <c r="I16" s="35">
        <f t="shared" si="6"/>
        <v>63568.123313084623</v>
      </c>
      <c r="J16" s="29">
        <f>I16-D16</f>
        <v>-35983.876686915377</v>
      </c>
      <c r="K16" s="33">
        <f>J16/D16</f>
        <v>-0.3614580991533608</v>
      </c>
      <c r="L16" s="29">
        <f>(H16+I16)-(C16+D16)</f>
        <v>-40432.485511318664</v>
      </c>
      <c r="M16" s="33">
        <f>L16/(C16+D16)</f>
        <v>-0.22587097438267031</v>
      </c>
    </row>
    <row r="17" spans="2:13" x14ac:dyDescent="0.2">
      <c r="B17" s="26"/>
      <c r="C17" s="29"/>
      <c r="D17" s="29"/>
      <c r="E17" s="29"/>
      <c r="F17" s="29"/>
      <c r="G17" s="29"/>
      <c r="H17" s="29"/>
      <c r="I17" s="29"/>
      <c r="J17" s="29"/>
      <c r="K17" s="33"/>
      <c r="L17" s="29"/>
      <c r="M17" s="33"/>
    </row>
    <row r="18" spans="2:13" x14ac:dyDescent="0.2">
      <c r="B18" s="23" t="s">
        <v>126</v>
      </c>
      <c r="C18" s="29">
        <f>2247*('2022 IR Data Book'!$A$5)</f>
        <v>2247</v>
      </c>
      <c r="D18" s="29">
        <f>1426*('2022 IR Data Book'!$A$5)</f>
        <v>1426</v>
      </c>
      <c r="E18" s="29">
        <f>1374*('2022 IR Data Book'!$A$5)</f>
        <v>1374</v>
      </c>
      <c r="F18" s="29">
        <f t="shared" ref="F18:F20" si="7">G18-C18-D18-E18</f>
        <v>1359</v>
      </c>
      <c r="G18" s="29">
        <f>6406*('2022 IR Data Book'!$A$5)</f>
        <v>6406</v>
      </c>
      <c r="H18" s="29">
        <f>991.01122253691*('2022 IR Data Book'!$A$5)</f>
        <v>991.01122253691005</v>
      </c>
      <c r="I18" s="29">
        <f>1005.15436493052*('2022 IR Data Book'!$A$5)</f>
        <v>1005.15436493052</v>
      </c>
      <c r="J18" s="29">
        <f t="shared" ref="J18:J23" si="8">I18-D18</f>
        <v>-420.84563506947995</v>
      </c>
      <c r="K18" s="33">
        <f t="shared" ref="K18:K23" si="9">J18/D18</f>
        <v>-0.29512316624788215</v>
      </c>
      <c r="L18" s="29">
        <f t="shared" ref="L18:L23" si="10">(H18+I18)-(C18+D18)</f>
        <v>-1676.8344125325698</v>
      </c>
      <c r="M18" s="33">
        <f t="shared" ref="M18:M23" si="11">L18/(C18+D18)</f>
        <v>-0.45652992445754692</v>
      </c>
    </row>
    <row r="19" spans="2:13" x14ac:dyDescent="0.2">
      <c r="B19" s="23" t="s">
        <v>127</v>
      </c>
      <c r="C19" s="29">
        <f>-15290*('2022 IR Data Book'!$A$5)</f>
        <v>-15290</v>
      </c>
      <c r="D19" s="29">
        <f>-15364*('2022 IR Data Book'!$A$5)</f>
        <v>-15364</v>
      </c>
      <c r="E19" s="29">
        <f>-15494*('2022 IR Data Book'!$A$5)</f>
        <v>-15494</v>
      </c>
      <c r="F19" s="29">
        <f t="shared" si="7"/>
        <v>-13940</v>
      </c>
      <c r="G19" s="29">
        <f>-60088*('2022 IR Data Book'!$A$5)</f>
        <v>-60088</v>
      </c>
      <c r="H19" s="29">
        <f>-12840.3882239414*('2022 IR Data Book'!$A$5)</f>
        <v>-12840.3882239414</v>
      </c>
      <c r="I19" s="29">
        <f>-15376.8808591112*('2022 IR Data Book'!$A$5)</f>
        <v>-15376.880859111199</v>
      </c>
      <c r="J19" s="29">
        <f t="shared" si="8"/>
        <v>-12.880859111199243</v>
      </c>
      <c r="K19" s="33">
        <f>-J19/D19</f>
        <v>-8.3837927045035427E-4</v>
      </c>
      <c r="L19" s="29">
        <f t="shared" si="10"/>
        <v>2436.7309169474029</v>
      </c>
      <c r="M19" s="33">
        <f>-L19/(C19+D19)</f>
        <v>7.9491450282097045E-2</v>
      </c>
    </row>
    <row r="20" spans="2:13" x14ac:dyDescent="0.2">
      <c r="B20" s="27" t="s">
        <v>128</v>
      </c>
      <c r="C20" s="29">
        <f>2685*('2022 IR Data Book'!$A$5)</f>
        <v>2685</v>
      </c>
      <c r="D20" s="29">
        <f>4608*('2022 IR Data Book'!$A$5)</f>
        <v>4608</v>
      </c>
      <c r="E20" s="29">
        <f>1911*('2022 IR Data Book'!$A$5)</f>
        <v>1911</v>
      </c>
      <c r="F20" s="29">
        <f t="shared" si="7"/>
        <v>1028</v>
      </c>
      <c r="G20" s="29">
        <f>10232*('2022 IR Data Book'!$A$5)</f>
        <v>10232</v>
      </c>
      <c r="H20" s="29">
        <f>3555.9604193588*('2022 IR Data Book'!$A$5)</f>
        <v>3555.9604193588002</v>
      </c>
      <c r="I20" s="29">
        <f>4164.24552562748*('2022 IR Data Book'!$A$5)</f>
        <v>4164.2455256274798</v>
      </c>
      <c r="J20" s="37">
        <f t="shared" si="8"/>
        <v>-443.75447437252024</v>
      </c>
      <c r="K20" s="38">
        <f t="shared" si="9"/>
        <v>-9.6300884195425401E-2</v>
      </c>
      <c r="L20" s="37">
        <f t="shared" si="10"/>
        <v>427.20594498627997</v>
      </c>
      <c r="M20" s="38">
        <f t="shared" si="11"/>
        <v>5.857753256359248E-2</v>
      </c>
    </row>
    <row r="21" spans="2:13" x14ac:dyDescent="0.2">
      <c r="B21" s="24" t="s">
        <v>129</v>
      </c>
      <c r="C21" s="30">
        <f>SUM(C16:C20)</f>
        <v>69097</v>
      </c>
      <c r="D21" s="30">
        <f t="shared" ref="D21:I21" si="12">SUM(D16:D20)</f>
        <v>90222</v>
      </c>
      <c r="E21" s="30">
        <f t="shared" si="12"/>
        <v>55809</v>
      </c>
      <c r="F21" s="30">
        <f t="shared" si="12"/>
        <v>47096</v>
      </c>
      <c r="G21" s="30">
        <f t="shared" si="12"/>
        <v>262224</v>
      </c>
      <c r="H21" s="30">
        <f t="shared" si="12"/>
        <v>66712.974593551029</v>
      </c>
      <c r="I21" s="30">
        <f t="shared" si="12"/>
        <v>53360.642344531421</v>
      </c>
      <c r="J21" s="39">
        <f t="shared" si="8"/>
        <v>-36861.357655468579</v>
      </c>
      <c r="K21" s="40">
        <f t="shared" si="9"/>
        <v>-0.40856285224744054</v>
      </c>
      <c r="L21" s="39">
        <f t="shared" si="10"/>
        <v>-39245.383061917557</v>
      </c>
      <c r="M21" s="40">
        <f t="shared" si="11"/>
        <v>-0.24633209511682572</v>
      </c>
    </row>
    <row r="22" spans="2:13" x14ac:dyDescent="0.2">
      <c r="B22" s="23" t="s">
        <v>130</v>
      </c>
      <c r="C22" s="29">
        <f>-27647*('2022 IR Data Book'!$A$5)</f>
        <v>-27647</v>
      </c>
      <c r="D22" s="29">
        <f>-29409*('2022 IR Data Book'!$A$5)</f>
        <v>-29409</v>
      </c>
      <c r="E22" s="29">
        <f>-23812*('2022 IR Data Book'!$A$5)</f>
        <v>-23812</v>
      </c>
      <c r="F22" s="29">
        <f t="shared" ref="F22" si="13">G22-C22-D22-E22</f>
        <v>-604</v>
      </c>
      <c r="G22" s="29">
        <f>(-81472)*('2022 IR Data Book'!$A$5)</f>
        <v>-81472</v>
      </c>
      <c r="H22" s="29">
        <f>-19735.8152716225*('2022 IR Data Book'!$A$5)</f>
        <v>-19735.815271622501</v>
      </c>
      <c r="I22" s="29">
        <f>-8349.12519583467*('2022 IR Data Book'!$A$5)</f>
        <v>-8349.1251958346693</v>
      </c>
      <c r="J22" s="29">
        <f t="shared" si="8"/>
        <v>21059.874804165331</v>
      </c>
      <c r="K22" s="33">
        <f>-J22/D22</f>
        <v>0.71610305702898192</v>
      </c>
      <c r="L22" s="29">
        <f t="shared" si="10"/>
        <v>28971.059532542829</v>
      </c>
      <c r="M22" s="33">
        <f>-L22/(C22+D22)</f>
        <v>0.50776534514411853</v>
      </c>
    </row>
    <row r="23" spans="2:13" ht="15" x14ac:dyDescent="0.25">
      <c r="B23" s="24" t="s">
        <v>131</v>
      </c>
      <c r="C23" s="31">
        <f>SUM(C21:C22)</f>
        <v>41450</v>
      </c>
      <c r="D23" s="31">
        <f>SUM(D21:D22)</f>
        <v>60813</v>
      </c>
      <c r="E23" s="31">
        <f t="shared" ref="E23:G23" si="14">SUM(E21:E22)</f>
        <v>31997</v>
      </c>
      <c r="F23" s="31">
        <f t="shared" si="14"/>
        <v>46492</v>
      </c>
      <c r="G23" s="31">
        <f t="shared" si="14"/>
        <v>180752</v>
      </c>
      <c r="H23" s="31">
        <f>SUM(H21:H22)</f>
        <v>46977.159321928528</v>
      </c>
      <c r="I23" s="31">
        <f>SUM(I21:I22)</f>
        <v>45011.517148696752</v>
      </c>
      <c r="J23" s="41">
        <f t="shared" si="8"/>
        <v>-15801.482851303248</v>
      </c>
      <c r="K23" s="42">
        <f t="shared" si="9"/>
        <v>-0.25983725274699898</v>
      </c>
      <c r="L23" s="41">
        <f t="shared" si="10"/>
        <v>-10274.323529374728</v>
      </c>
      <c r="M23" s="42">
        <f t="shared" si="11"/>
        <v>-0.10046960806327536</v>
      </c>
    </row>
    <row r="24" spans="2:13" x14ac:dyDescent="0.2">
      <c r="B24" s="24"/>
      <c r="C24" s="29"/>
      <c r="D24" s="29"/>
      <c r="E24" s="29"/>
      <c r="F24" s="29"/>
      <c r="G24" s="29"/>
      <c r="H24" s="29"/>
      <c r="I24" s="29"/>
      <c r="J24" s="29"/>
      <c r="K24" s="33"/>
      <c r="L24" s="29"/>
      <c r="M24" s="33"/>
    </row>
    <row r="25" spans="2:13" x14ac:dyDescent="0.2">
      <c r="B25" s="24" t="s">
        <v>132</v>
      </c>
      <c r="C25" s="29"/>
      <c r="D25" s="29"/>
      <c r="E25" s="29"/>
      <c r="F25" s="29"/>
      <c r="G25" s="29"/>
      <c r="H25" s="29"/>
      <c r="I25" s="29"/>
      <c r="J25" s="29"/>
      <c r="K25" s="33"/>
      <c r="L25" s="29"/>
      <c r="M25" s="33"/>
    </row>
    <row r="26" spans="2:13" x14ac:dyDescent="0.2">
      <c r="B26" s="23" t="s">
        <v>133</v>
      </c>
      <c r="C26" s="29">
        <f>5895*('2022 IR Data Book'!$A$5)</f>
        <v>5895</v>
      </c>
      <c r="D26" s="29">
        <f>5432*('2022 IR Data Book'!$A$5)</f>
        <v>5432</v>
      </c>
      <c r="E26" s="29">
        <f>5037*('2022 IR Data Book'!$A$5)</f>
        <v>5037</v>
      </c>
      <c r="F26" s="29">
        <f t="shared" ref="F26:F27" si="15">G26-C26-D26-E26</f>
        <v>-623</v>
      </c>
      <c r="G26" s="29">
        <f>(15741)*('2022 IR Data Book'!$A$5)</f>
        <v>15741</v>
      </c>
      <c r="H26" s="29">
        <f>8.02103920024501*('2022 IR Data Book'!$A$5)</f>
        <v>8.0210392002450099</v>
      </c>
      <c r="I26" s="29">
        <f>-23.9996667664583*('2022 IR Data Book'!$A$5)</f>
        <v>-23.999666766458301</v>
      </c>
      <c r="J26" s="29">
        <f>I26-D26</f>
        <v>-5455.9996667664582</v>
      </c>
      <c r="K26" s="33">
        <f>J26/D26</f>
        <v>-1.0044182008038398</v>
      </c>
      <c r="L26" s="29">
        <f>(H26+I26)-(C26+D26)</f>
        <v>-11342.978627566214</v>
      </c>
      <c r="M26" s="33">
        <f>L26/(C26+D26)</f>
        <v>-1.0014106672169343</v>
      </c>
    </row>
    <row r="27" spans="2:13" x14ac:dyDescent="0.2">
      <c r="B27" s="23" t="s">
        <v>134</v>
      </c>
      <c r="C27" s="29">
        <f>0*('2022 IR Data Book'!$A$5)</f>
        <v>0</v>
      </c>
      <c r="D27" s="29">
        <f>0*('2022 IR Data Book'!$A$5)</f>
        <v>0</v>
      </c>
      <c r="E27" s="29">
        <f>31608*('2022 IR Data Book'!$A$5)</f>
        <v>31608</v>
      </c>
      <c r="F27" s="29">
        <f t="shared" si="15"/>
        <v>0</v>
      </c>
      <c r="G27" s="29">
        <f>(31608)*('2022 IR Data Book'!$A$5)</f>
        <v>31608</v>
      </c>
      <c r="H27" s="29">
        <f>800.0869278*('2022 IR Data Book'!$A$5)</f>
        <v>800.08692780000001</v>
      </c>
      <c r="I27" s="29">
        <f>0*('2022 IR Data Book'!$A$5)</f>
        <v>0</v>
      </c>
      <c r="J27" s="29">
        <f>I27-D27</f>
        <v>0</v>
      </c>
      <c r="K27" s="33"/>
      <c r="L27" s="29">
        <f>(H27+I27)-(C27+D27)</f>
        <v>800.08692780000001</v>
      </c>
      <c r="M27" s="33" t="e">
        <f>L27/(C27+D27)</f>
        <v>#DIV/0!</v>
      </c>
    </row>
    <row r="28" spans="2:13" ht="15" x14ac:dyDescent="0.25">
      <c r="B28" s="24" t="s">
        <v>135</v>
      </c>
      <c r="C28" s="31">
        <f>C26+C23+C27</f>
        <v>47345</v>
      </c>
      <c r="D28" s="31">
        <f>D26+D23+D27</f>
        <v>66245</v>
      </c>
      <c r="E28" s="31">
        <f t="shared" ref="E28:G28" si="16">E26+E23+E27</f>
        <v>68642</v>
      </c>
      <c r="F28" s="31">
        <f t="shared" si="16"/>
        <v>45869</v>
      </c>
      <c r="G28" s="31">
        <f t="shared" si="16"/>
        <v>228101</v>
      </c>
      <c r="H28" s="31">
        <f>H26+H23+H27</f>
        <v>47785.267288928779</v>
      </c>
      <c r="I28" s="31">
        <f>I26+I23+I27</f>
        <v>44987.517481930292</v>
      </c>
      <c r="J28" s="41">
        <f>I28-D28</f>
        <v>-21257.482518069708</v>
      </c>
      <c r="K28" s="42">
        <f>J28/D28</f>
        <v>-0.3208918789051205</v>
      </c>
      <c r="L28" s="41">
        <f>(H28+I28)-(C28+D28)</f>
        <v>-20817.215229140929</v>
      </c>
      <c r="M28" s="42">
        <f>L28/(C28+D28)</f>
        <v>-0.1832662666532347</v>
      </c>
    </row>
    <row r="29" spans="2:13" x14ac:dyDescent="0.2">
      <c r="B29" s="24"/>
      <c r="C29" s="29"/>
      <c r="D29" s="29"/>
      <c r="E29" s="29"/>
      <c r="F29" s="29"/>
      <c r="G29" s="29"/>
      <c r="H29" s="29"/>
      <c r="I29" s="29"/>
      <c r="J29" s="29"/>
      <c r="K29" s="33"/>
      <c r="L29" s="29"/>
      <c r="M29" s="33"/>
    </row>
    <row r="30" spans="2:13" x14ac:dyDescent="0.2">
      <c r="B30" s="24" t="s">
        <v>136</v>
      </c>
      <c r="C30" s="29"/>
      <c r="D30" s="29"/>
      <c r="E30" s="29"/>
      <c r="F30" s="29"/>
      <c r="G30" s="29"/>
      <c r="H30" s="29"/>
      <c r="I30" s="29"/>
      <c r="J30" s="29"/>
      <c r="K30" s="33"/>
      <c r="L30" s="29"/>
      <c r="M30" s="33"/>
    </row>
    <row r="31" spans="2:13" x14ac:dyDescent="0.2">
      <c r="B31" s="28" t="s">
        <v>137</v>
      </c>
      <c r="C31" s="29"/>
      <c r="D31" s="29"/>
      <c r="E31" s="29"/>
      <c r="F31" s="29"/>
      <c r="G31" s="29"/>
      <c r="H31" s="29"/>
      <c r="I31" s="29"/>
      <c r="J31" s="29"/>
      <c r="K31" s="33"/>
      <c r="L31" s="29"/>
      <c r="M31" s="33"/>
    </row>
    <row r="32" spans="2:13" x14ac:dyDescent="0.2">
      <c r="B32" s="23" t="s">
        <v>138</v>
      </c>
      <c r="C32" s="29">
        <f>40656*('2022 IR Data Book'!$A$5)</f>
        <v>40656</v>
      </c>
      <c r="D32" s="29">
        <f>60419*('2022 IR Data Book'!$A$5)</f>
        <v>60419</v>
      </c>
      <c r="E32" s="29">
        <f>31350*('2022 IR Data Book'!$A$5)</f>
        <v>31350</v>
      </c>
      <c r="F32" s="29">
        <f t="shared" ref="F32:F33" si="17">G32-C32-D32-E32</f>
        <v>46870</v>
      </c>
      <c r="G32" s="29">
        <f>(179295)*('2022 IR Data Book'!$A$5)</f>
        <v>179295</v>
      </c>
      <c r="H32" s="29">
        <f>46494.1878882839*('2022 IR Data Book'!$A$5)</f>
        <v>46494.187888283901</v>
      </c>
      <c r="I32" s="29">
        <f>44592.4391410097*('2022 IR Data Book'!$A$5)</f>
        <v>44592.439141009701</v>
      </c>
      <c r="J32" s="29">
        <f>I32-D32</f>
        <v>-15826.560858990299</v>
      </c>
      <c r="K32" s="33">
        <f>J32/D32</f>
        <v>-0.26194675282593716</v>
      </c>
      <c r="L32" s="29">
        <f>(H32+I32)-(C32+D32)</f>
        <v>-9988.3729707064049</v>
      </c>
      <c r="M32" s="33">
        <f>L32/(C32+D32)</f>
        <v>-9.8821399660711406E-2</v>
      </c>
    </row>
    <row r="33" spans="2:13" x14ac:dyDescent="0.2">
      <c r="B33" s="23" t="s">
        <v>139</v>
      </c>
      <c r="C33" s="29">
        <f>5357*('2022 IR Data Book'!$A$5)</f>
        <v>5357</v>
      </c>
      <c r="D33" s="29">
        <f>5047*('2022 IR Data Book'!$A$5)</f>
        <v>5047</v>
      </c>
      <c r="E33" s="29">
        <f>36465*('2022 IR Data Book'!$A$5)</f>
        <v>36465</v>
      </c>
      <c r="F33" s="29">
        <f t="shared" si="17"/>
        <v>-623</v>
      </c>
      <c r="G33" s="29">
        <f>(46246)*('2022 IR Data Book'!$A$5)</f>
        <v>46246</v>
      </c>
      <c r="H33" s="29">
        <f>808.109436040245*('2022 IR Data Book'!$A$5)</f>
        <v>808.10943604024499</v>
      </c>
      <c r="I33" s="29">
        <f>-24.0000340264582*('2022 IR Data Book'!$A$5)</f>
        <v>-24.000034026458199</v>
      </c>
      <c r="J33" s="29">
        <f>I33-D33</f>
        <v>-5071.0000340264578</v>
      </c>
      <c r="K33" s="33">
        <f>J33/D33</f>
        <v>-1.0047553069202413</v>
      </c>
      <c r="L33" s="29">
        <f>(H33+I33)-(C33+D33)</f>
        <v>-9619.8905979862138</v>
      </c>
      <c r="M33" s="33">
        <f>L33/(C33+D33)</f>
        <v>-0.92463385217091631</v>
      </c>
    </row>
    <row r="34" spans="2:13" ht="15" x14ac:dyDescent="0.25">
      <c r="B34" s="23"/>
      <c r="C34" s="31">
        <f>SUM(C32:C33)</f>
        <v>46013</v>
      </c>
      <c r="D34" s="31">
        <f>SUM(D32:D33)</f>
        <v>65466</v>
      </c>
      <c r="E34" s="31">
        <f t="shared" ref="E34:G34" si="18">SUM(E32:E33)</f>
        <v>67815</v>
      </c>
      <c r="F34" s="31">
        <f t="shared" si="18"/>
        <v>46247</v>
      </c>
      <c r="G34" s="31">
        <f t="shared" si="18"/>
        <v>225541</v>
      </c>
      <c r="H34" s="31">
        <f>SUM(H32:H33)</f>
        <v>47302.297324324143</v>
      </c>
      <c r="I34" s="31">
        <f>SUM(I32:I33)</f>
        <v>44568.439106983242</v>
      </c>
      <c r="J34" s="41">
        <f>I34-D34</f>
        <v>-20897.560893016758</v>
      </c>
      <c r="K34" s="42">
        <f>J34/D34</f>
        <v>-0.31921242924597132</v>
      </c>
      <c r="L34" s="41">
        <f>(H34+I34)-(C34+D34)</f>
        <v>-19608.263568692608</v>
      </c>
      <c r="M34" s="42">
        <f>L34/(C34+D34)</f>
        <v>-0.17589199372700337</v>
      </c>
    </row>
    <row r="35" spans="2:13" x14ac:dyDescent="0.2">
      <c r="B35" s="28" t="s">
        <v>140</v>
      </c>
      <c r="C35" s="29"/>
      <c r="D35" s="29"/>
      <c r="E35" s="29"/>
      <c r="F35" s="29"/>
      <c r="G35" s="29"/>
      <c r="H35" s="29"/>
      <c r="I35" s="29"/>
      <c r="J35" s="29"/>
      <c r="K35" s="33"/>
      <c r="L35" s="29"/>
      <c r="M35" s="33"/>
    </row>
    <row r="36" spans="2:13" x14ac:dyDescent="0.2">
      <c r="B36" s="23" t="s">
        <v>141</v>
      </c>
      <c r="C36" s="29">
        <f>794*('2022 IR Data Book'!$A$5)</f>
        <v>794</v>
      </c>
      <c r="D36" s="29">
        <f>394*('2022 IR Data Book'!$A$5)</f>
        <v>394</v>
      </c>
      <c r="E36" s="29">
        <f>647*('2022 IR Data Book'!$A$5)</f>
        <v>647</v>
      </c>
      <c r="F36" s="29">
        <f t="shared" ref="F36:F37" si="19">G36-C36-D36-E36</f>
        <v>-378</v>
      </c>
      <c r="G36" s="29">
        <f>1457*('2022 IR Data Book'!$A$5)</f>
        <v>1457</v>
      </c>
      <c r="H36" s="29">
        <f>482.969964602641*('2022 IR Data Book'!$A$5)</f>
        <v>482.96996460264103</v>
      </c>
      <c r="I36" s="29">
        <f>420*('2022 IR Data Book'!$A$5)</f>
        <v>420</v>
      </c>
      <c r="J36" s="29">
        <f>I36-D36</f>
        <v>26</v>
      </c>
      <c r="K36" s="33">
        <f>J36/D36</f>
        <v>6.5989847715736044E-2</v>
      </c>
      <c r="L36" s="29">
        <f>(H36+I36)-(C36+D36)</f>
        <v>-285.03003539735892</v>
      </c>
      <c r="M36" s="33">
        <f>L36/(C36+D36)</f>
        <v>-0.2399242722199991</v>
      </c>
    </row>
    <row r="37" spans="2:13" x14ac:dyDescent="0.2">
      <c r="B37" s="23" t="s">
        <v>142</v>
      </c>
      <c r="C37" s="29">
        <f>538*('2022 IR Data Book'!$A$5)</f>
        <v>538</v>
      </c>
      <c r="D37" s="29">
        <f>385*('2022 IR Data Book'!$A$5)</f>
        <v>385</v>
      </c>
      <c r="E37" s="29">
        <f>180*('2022 IR Data Book'!$A$5)</f>
        <v>180</v>
      </c>
      <c r="F37" s="29">
        <f t="shared" si="19"/>
        <v>0</v>
      </c>
      <c r="G37" s="29">
        <f>(1103)*('2022 IR Data Book'!$A$5)</f>
        <v>1103</v>
      </c>
      <c r="H37" s="29">
        <f>0*('2022 IR Data Book'!$A$5)</f>
        <v>0</v>
      </c>
      <c r="I37" s="29">
        <f>0*('2022 IR Data Book'!$A$5)</f>
        <v>0</v>
      </c>
      <c r="J37" s="29">
        <f>I37-D37</f>
        <v>-385</v>
      </c>
      <c r="K37" s="33">
        <f>J37/D37</f>
        <v>-1</v>
      </c>
      <c r="L37" s="29">
        <f>(H37+I37)-(C37+D37)</f>
        <v>-923</v>
      </c>
      <c r="M37" s="33">
        <f>L37/(C37+D37)</f>
        <v>-1</v>
      </c>
    </row>
    <row r="38" spans="2:13" ht="15" x14ac:dyDescent="0.25">
      <c r="B38" s="24"/>
      <c r="C38" s="31">
        <f>SUM(C36:C37)</f>
        <v>1332</v>
      </c>
      <c r="D38" s="31">
        <f>SUM(D36:D37)</f>
        <v>779</v>
      </c>
      <c r="E38" s="31">
        <f t="shared" ref="E38:G38" si="20">SUM(E36:E37)</f>
        <v>827</v>
      </c>
      <c r="F38" s="31">
        <f t="shared" si="20"/>
        <v>-378</v>
      </c>
      <c r="G38" s="31">
        <f t="shared" si="20"/>
        <v>2560</v>
      </c>
      <c r="H38" s="31">
        <f>SUM(H36:H37)</f>
        <v>482.96996460264103</v>
      </c>
      <c r="I38" s="31">
        <f>SUM(I36:I37)</f>
        <v>420</v>
      </c>
      <c r="J38" s="41">
        <f>I38-D38</f>
        <v>-359</v>
      </c>
      <c r="K38" s="42">
        <f>J38/D38</f>
        <v>-0.46084724005134786</v>
      </c>
      <c r="L38" s="41">
        <f>(H38+I38)-(C38+D38)</f>
        <v>-1208.0300353973589</v>
      </c>
      <c r="M38" s="42">
        <f>L38/(C38+D38)</f>
        <v>-0.57225487228676408</v>
      </c>
    </row>
    <row r="39" spans="2:13" x14ac:dyDescent="0.2">
      <c r="B39" s="24"/>
      <c r="K39" s="34"/>
      <c r="M39" s="34"/>
    </row>
    <row r="40" spans="2:13" x14ac:dyDescent="0.2">
      <c r="B40" s="24" t="s">
        <v>143</v>
      </c>
      <c r="K40" s="34"/>
      <c r="M40" s="34"/>
    </row>
    <row r="41" spans="2:13" x14ac:dyDescent="0.2">
      <c r="B41" s="23" t="s">
        <v>275</v>
      </c>
      <c r="C41" s="32">
        <f>C32*1000/1464100000</f>
        <v>2.7768595041322314E-2</v>
      </c>
      <c r="D41" s="32">
        <f>D32*1000/1464100000</f>
        <v>4.1266989959702204E-2</v>
      </c>
      <c r="E41" s="32">
        <f t="shared" ref="E41:G41" si="21">E32*1000/1464100000</f>
        <v>2.1412471825694966E-2</v>
      </c>
      <c r="F41" s="32">
        <f t="shared" ref="F41" si="22">F32*1000/1464100000</f>
        <v>3.2012840652960867E-2</v>
      </c>
      <c r="G41" s="32">
        <f t="shared" si="21"/>
        <v>0.12246089747968035</v>
      </c>
      <c r="H41" s="32">
        <f>H32*1000/1464100000</f>
        <v>3.1756155923969603E-2</v>
      </c>
      <c r="I41" s="32">
        <f>I32*1000/1464100000</f>
        <v>3.0457235940857662E-2</v>
      </c>
      <c r="J41" s="29">
        <f>I41-D41</f>
        <v>-1.0809754018844542E-2</v>
      </c>
      <c r="K41" s="33">
        <f>J41/D41</f>
        <v>-0.2619467528259371</v>
      </c>
      <c r="L41" s="36">
        <f>(H41+I41)-(C41+D41)</f>
        <v>-6.822193136197259E-3</v>
      </c>
      <c r="M41" s="33">
        <f>L41/(C41+D41)</f>
        <v>-9.882139966071142E-2</v>
      </c>
    </row>
    <row r="42" spans="2:13" x14ac:dyDescent="0.2">
      <c r="B42" s="23" t="s">
        <v>276</v>
      </c>
      <c r="C42" s="32">
        <f>C33*1000/1464100000</f>
        <v>3.6589030803906835E-3</v>
      </c>
      <c r="D42" s="32">
        <f>D33*1000/1464100000</f>
        <v>3.4471689092275119E-3</v>
      </c>
      <c r="E42" s="32">
        <f t="shared" ref="E42:G42" si="23">E33*1000/1464100000</f>
        <v>2.4906085649887302E-2</v>
      </c>
      <c r="F42" s="32">
        <f t="shared" ref="F42" si="24">F33*1000/1464100000</f>
        <v>-4.2551738269243903E-4</v>
      </c>
      <c r="G42" s="32">
        <f t="shared" si="23"/>
        <v>3.1586640256813056E-2</v>
      </c>
      <c r="H42" s="32">
        <f>H33*1000/1464100000</f>
        <v>5.5194961822296635E-4</v>
      </c>
      <c r="I42" s="32">
        <f>I33*1000/1464100000</f>
        <v>-1.6392346169290483E-5</v>
      </c>
      <c r="J42" s="29">
        <f>I42-D42</f>
        <v>-3.4635612553968022E-3</v>
      </c>
      <c r="K42" s="33">
        <f>J42/D42</f>
        <v>-1.0047553069202413</v>
      </c>
      <c r="L42" s="36">
        <f>(H42+I42)-(C42+D42)</f>
        <v>-6.5705147175645195E-3</v>
      </c>
      <c r="M42" s="33">
        <f>L42/(C42+D42)</f>
        <v>-0.92463385217091631</v>
      </c>
    </row>
    <row r="46" spans="2:13" x14ac:dyDescent="0.2">
      <c r="B46" s="204" t="s">
        <v>282</v>
      </c>
      <c r="C46" s="205">
        <v>2017</v>
      </c>
      <c r="D46" s="205">
        <v>2018</v>
      </c>
      <c r="E46" s="205">
        <v>2019</v>
      </c>
      <c r="F46" s="205">
        <v>2020</v>
      </c>
      <c r="G46" s="205">
        <v>2021</v>
      </c>
    </row>
    <row r="47" spans="2:13" x14ac:dyDescent="0.2">
      <c r="B47" s="74" t="s">
        <v>247</v>
      </c>
      <c r="C47" s="2">
        <v>0.16299979509596338</v>
      </c>
      <c r="D47" s="2">
        <v>0.16500034150672768</v>
      </c>
      <c r="E47" s="2">
        <v>0.16500000000885801</v>
      </c>
      <c r="F47" s="2">
        <v>0.13000000000697903</v>
      </c>
      <c r="G47" s="2">
        <v>0.13</v>
      </c>
    </row>
    <row r="48" spans="2:13" x14ac:dyDescent="0.2">
      <c r="B48" s="74" t="s">
        <v>280</v>
      </c>
      <c r="C48" s="2">
        <v>0.54811333971828136</v>
      </c>
      <c r="D48" s="2">
        <v>0.49037725699554435</v>
      </c>
      <c r="E48" s="2">
        <v>0.48567852837348008</v>
      </c>
      <c r="F48" s="2">
        <v>0.71378800837877832</v>
      </c>
      <c r="G48" s="2">
        <v>0.84389534501584196</v>
      </c>
    </row>
    <row r="49" spans="2:7" x14ac:dyDescent="0.2">
      <c r="B49" s="24" t="s">
        <v>281</v>
      </c>
      <c r="C49" s="231">
        <v>0.16299999999999998</v>
      </c>
      <c r="D49" s="231">
        <v>0.16500000000000001</v>
      </c>
      <c r="E49" s="231">
        <v>0.16500000000000001</v>
      </c>
      <c r="F49" s="231">
        <v>0.13</v>
      </c>
      <c r="G49" s="21">
        <v>0.13</v>
      </c>
    </row>
  </sheetData>
  <mergeCells count="1">
    <mergeCell ref="J5:M5"/>
  </mergeCells>
  <pageMargins left="0.7" right="0.7" top="0.75" bottom="0.75" header="0.3" footer="0.3"/>
  <pageSetup orientation="portrait" horizontalDpi="1200" verticalDpi="1200" r:id="rId1"/>
  <ignoredErrors>
    <ignoredError sqref="G6" numberStoredAsText="1"/>
    <ignoredError sqref="K9:M22 F10" formula="1"/>
    <ignoredError sqref="M27" evalErro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21968-C066-4BF5-942F-94C954F964D1}">
  <dimension ref="A1:K62"/>
  <sheetViews>
    <sheetView showGridLines="0" workbookViewId="0">
      <pane xSplit="2" ySplit="6" topLeftCell="C7" activePane="bottomRight" state="frozen"/>
      <selection activeCell="P28" sqref="P28"/>
      <selection pane="topRight" activeCell="P28" sqref="P28"/>
      <selection pane="bottomLeft" activeCell="P28" sqref="P28"/>
      <selection pane="bottomRight" activeCell="M16" sqref="M16"/>
    </sheetView>
  </sheetViews>
  <sheetFormatPr defaultRowHeight="12.75" x14ac:dyDescent="0.2"/>
  <cols>
    <col min="1" max="1" width="5.7109375" style="21" customWidth="1"/>
    <col min="2" max="2" width="52.85546875" style="21" customWidth="1"/>
    <col min="3" max="8" width="9.85546875" style="21" bestFit="1" customWidth="1"/>
    <col min="9" max="16384" width="9.140625" style="21"/>
  </cols>
  <sheetData>
    <row r="1" spans="1:8" x14ac:dyDescent="0.2">
      <c r="A1" s="189">
        <f>'2022 IR Data Book'!$A$5</f>
        <v>1</v>
      </c>
    </row>
    <row r="2" spans="1:8" ht="15.75" x14ac:dyDescent="0.25">
      <c r="B2" s="144" t="s">
        <v>251</v>
      </c>
    </row>
    <row r="5" spans="1:8" ht="15" x14ac:dyDescent="0.25">
      <c r="B5" s="22" t="s">
        <v>145</v>
      </c>
      <c r="C5" s="195" t="s">
        <v>55</v>
      </c>
      <c r="D5" s="195" t="s">
        <v>187</v>
      </c>
      <c r="E5" s="195" t="s">
        <v>188</v>
      </c>
      <c r="F5" s="195" t="s">
        <v>189</v>
      </c>
      <c r="G5" s="195" t="s">
        <v>54</v>
      </c>
      <c r="H5" s="195" t="s">
        <v>190</v>
      </c>
    </row>
    <row r="6" spans="1:8" ht="15" x14ac:dyDescent="0.25">
      <c r="B6" s="22" t="s">
        <v>146</v>
      </c>
    </row>
    <row r="7" spans="1:8" x14ac:dyDescent="0.2">
      <c r="B7" s="21" t="s">
        <v>147</v>
      </c>
      <c r="C7" s="29">
        <f>957925*('2022 IR Data Book'!$A$5)</f>
        <v>957925</v>
      </c>
      <c r="D7" s="29">
        <f>963437*('2022 IR Data Book'!$A$5)</f>
        <v>963437</v>
      </c>
      <c r="E7" s="29">
        <f>980472*('2022 IR Data Book'!$A$5)</f>
        <v>980472</v>
      </c>
      <c r="F7" s="29">
        <f>941430*('2022 IR Data Book'!$A$5)</f>
        <v>941430</v>
      </c>
      <c r="G7" s="29">
        <f>918236*('2022 IR Data Book'!$A$5)</f>
        <v>918236</v>
      </c>
      <c r="H7" s="29">
        <f>894104.544664551*('2022 IR Data Book'!$A$5)</f>
        <v>894104.54466455104</v>
      </c>
    </row>
    <row r="8" spans="1:8" x14ac:dyDescent="0.2">
      <c r="B8" s="21" t="s">
        <v>148</v>
      </c>
      <c r="C8" s="29">
        <f>862334*('2022 IR Data Book'!$A$5)</f>
        <v>862334</v>
      </c>
      <c r="D8" s="29">
        <f>910988*('2022 IR Data Book'!$A$5)</f>
        <v>910988</v>
      </c>
      <c r="E8" s="29">
        <f>956865*('2022 IR Data Book'!$A$5)</f>
        <v>956865</v>
      </c>
      <c r="F8" s="29">
        <f>894266*('2022 IR Data Book'!$A$5)</f>
        <v>894266</v>
      </c>
      <c r="G8" s="29">
        <f>890902*('2022 IR Data Book'!$A$5)</f>
        <v>890902</v>
      </c>
      <c r="H8" s="29">
        <f>921554.993062863*('2022 IR Data Book'!$A$5)</f>
        <v>921554.99306286301</v>
      </c>
    </row>
    <row r="9" spans="1:8" x14ac:dyDescent="0.2">
      <c r="B9" s="21" t="s">
        <v>149</v>
      </c>
      <c r="C9" s="29">
        <f>1135511*('2022 IR Data Book'!$A$5)</f>
        <v>1135511</v>
      </c>
      <c r="D9" s="29">
        <f>1140170*('2022 IR Data Book'!$A$5)</f>
        <v>1140170</v>
      </c>
      <c r="E9" s="29">
        <f>1031265*('2022 IR Data Book'!$A$5)</f>
        <v>1031265</v>
      </c>
      <c r="F9" s="29">
        <f>1002568*('2022 IR Data Book'!$A$5)</f>
        <v>1002568</v>
      </c>
      <c r="G9" s="29">
        <f>1002568*('2022 IR Data Book'!$A$5)</f>
        <v>1002568</v>
      </c>
      <c r="H9" s="29">
        <f>1002568.07593687*('2022 IR Data Book'!$A$5)</f>
        <v>1002568.07593687</v>
      </c>
    </row>
    <row r="10" spans="1:8" x14ac:dyDescent="0.2">
      <c r="B10" s="21" t="s">
        <v>150</v>
      </c>
      <c r="C10" s="29">
        <f>214565*('2022 IR Data Book'!$A$5)</f>
        <v>214565</v>
      </c>
      <c r="D10" s="29">
        <f>212727*('2022 IR Data Book'!$A$5)</f>
        <v>212727</v>
      </c>
      <c r="E10" s="29">
        <f>212034*('2022 IR Data Book'!$A$5)</f>
        <v>212034</v>
      </c>
      <c r="F10" s="29">
        <f>201255*('2022 IR Data Book'!$A$5)</f>
        <v>201255</v>
      </c>
      <c r="G10" s="29">
        <f>200563*('2022 IR Data Book'!$A$5)</f>
        <v>200563</v>
      </c>
      <c r="H10" s="29">
        <f>199872.416294696*('2022 IR Data Book'!$A$5)</f>
        <v>199872.41629469601</v>
      </c>
    </row>
    <row r="11" spans="1:8" x14ac:dyDescent="0.2">
      <c r="B11" s="21" t="s">
        <v>151</v>
      </c>
      <c r="C11" s="29">
        <f>37815*('2022 IR Data Book'!$A$5)</f>
        <v>37815</v>
      </c>
      <c r="D11" s="29">
        <f>42848*('2022 IR Data Book'!$A$5)</f>
        <v>42848</v>
      </c>
      <c r="E11" s="29">
        <f>35984*('2022 IR Data Book'!$A$5)</f>
        <v>35984</v>
      </c>
      <c r="F11" s="29">
        <f>37448.2731596125*('2022 IR Data Book'!$A$5)</f>
        <v>37448.273159612501</v>
      </c>
      <c r="G11" s="29">
        <f>40904*('2022 IR Data Book'!$A$5)</f>
        <v>40904</v>
      </c>
      <c r="H11" s="29">
        <f>34374.6759942848*('2022 IR Data Book'!$A$5)</f>
        <v>34374.6759942848</v>
      </c>
    </row>
    <row r="12" spans="1:8" ht="25.5" x14ac:dyDescent="0.2">
      <c r="B12" s="43" t="s">
        <v>152</v>
      </c>
      <c r="C12" s="29">
        <f>23546*('2022 IR Data Book'!$A$5)</f>
        <v>23546</v>
      </c>
      <c r="D12" s="29">
        <f>23522*('2022 IR Data Book'!$A$5)</f>
        <v>23522</v>
      </c>
      <c r="E12" s="29">
        <f>17244*('2022 IR Data Book'!$A$5)</f>
        <v>17244</v>
      </c>
      <c r="F12" s="29">
        <f>17638*('2022 IR Data Book'!$A$5)</f>
        <v>17638</v>
      </c>
      <c r="G12" s="29">
        <f>17772*('2022 IR Data Book'!$A$5)</f>
        <v>17772</v>
      </c>
      <c r="H12" s="29">
        <f>17613.6880596444*('2022 IR Data Book'!$A$5)</f>
        <v>17613.688059644399</v>
      </c>
    </row>
    <row r="13" spans="1:8" x14ac:dyDescent="0.2">
      <c r="B13" s="43" t="s">
        <v>153</v>
      </c>
      <c r="C13" s="29">
        <f>7588*('2022 IR Data Book'!$A$5)</f>
        <v>7588</v>
      </c>
      <c r="D13" s="29">
        <f>7601*('2022 IR Data Book'!$A$5)</f>
        <v>7601</v>
      </c>
      <c r="E13" s="29">
        <f>7275*('2022 IR Data Book'!$A$5)</f>
        <v>7275</v>
      </c>
      <c r="F13" s="29">
        <f>8006*('2022 IR Data Book'!$A$5)</f>
        <v>8006</v>
      </c>
      <c r="G13" s="29">
        <f>7971*('2022 IR Data Book'!$A$5)</f>
        <v>7971</v>
      </c>
      <c r="H13" s="29">
        <f>21150.4841613572*('2022 IR Data Book'!$A$5)</f>
        <v>21150.484161357199</v>
      </c>
    </row>
    <row r="14" spans="1:8" x14ac:dyDescent="0.2">
      <c r="B14" s="21" t="s">
        <v>154</v>
      </c>
      <c r="C14" s="29">
        <f>4572*('2022 IR Data Book'!$A$5)</f>
        <v>4572</v>
      </c>
      <c r="D14" s="29">
        <f>3834*('2022 IR Data Book'!$A$5)</f>
        <v>3834</v>
      </c>
      <c r="E14" s="29">
        <f>3700*('2022 IR Data Book'!$A$5)</f>
        <v>3700</v>
      </c>
      <c r="F14" s="29">
        <f>4115*('2022 IR Data Book'!$A$5)</f>
        <v>4115</v>
      </c>
      <c r="G14" s="29">
        <f>4099*('2022 IR Data Book'!$A$5)</f>
        <v>4099</v>
      </c>
      <c r="H14" s="29">
        <f>3531.41643549816*('2022 IR Data Book'!$A$5)</f>
        <v>3531.4164354981599</v>
      </c>
    </row>
    <row r="15" spans="1:8" ht="15.75" thickBot="1" x14ac:dyDescent="0.3">
      <c r="C15" s="44">
        <f t="shared" ref="C15:E15" si="0">SUM(C7:C14)</f>
        <v>3243856</v>
      </c>
      <c r="D15" s="44">
        <f t="shared" si="0"/>
        <v>3305127</v>
      </c>
      <c r="E15" s="44">
        <f t="shared" si="0"/>
        <v>3244839</v>
      </c>
      <c r="F15" s="44">
        <f>SUM(F7:F14)</f>
        <v>3106726.2731596124</v>
      </c>
      <c r="G15" s="44">
        <f>SUM(G7:G14)</f>
        <v>3083015</v>
      </c>
      <c r="H15" s="44">
        <f>SUM(H7:H14)</f>
        <v>3094770.2946097651</v>
      </c>
    </row>
    <row r="16" spans="1:8" ht="15" x14ac:dyDescent="0.25">
      <c r="B16" s="22" t="s">
        <v>155</v>
      </c>
      <c r="C16" s="29"/>
      <c r="D16" s="29"/>
      <c r="E16" s="29"/>
      <c r="F16" s="29"/>
      <c r="G16" s="29"/>
      <c r="H16" s="29"/>
    </row>
    <row r="17" spans="2:8" x14ac:dyDescent="0.2">
      <c r="B17" s="21" t="s">
        <v>156</v>
      </c>
      <c r="C17" s="29">
        <f>1072585*('2022 IR Data Book'!$A$5)</f>
        <v>1072585</v>
      </c>
      <c r="D17" s="29">
        <f>1142044*('2022 IR Data Book'!$A$5)</f>
        <v>1142044</v>
      </c>
      <c r="E17" s="29">
        <f>1076168*('2022 IR Data Book'!$A$5)</f>
        <v>1076168</v>
      </c>
      <c r="F17" s="29">
        <f>1219422*('2022 IR Data Book'!$A$5)</f>
        <v>1219422</v>
      </c>
      <c r="G17" s="29">
        <f>1164185*('2022 IR Data Book'!$A$5)</f>
        <v>1164185</v>
      </c>
      <c r="H17" s="29">
        <f>1144011.21590874*('2022 IR Data Book'!$A$5)</f>
        <v>1144011.2159087399</v>
      </c>
    </row>
    <row r="18" spans="2:8" x14ac:dyDescent="0.2">
      <c r="B18" s="21" t="s">
        <v>157</v>
      </c>
      <c r="C18" s="29">
        <f>296178*('2022 IR Data Book'!$A$5)</f>
        <v>296178</v>
      </c>
      <c r="D18" s="29">
        <f>305444*('2022 IR Data Book'!$A$5)</f>
        <v>305444</v>
      </c>
      <c r="E18" s="29">
        <f>353365*('2022 IR Data Book'!$A$5)</f>
        <v>353365</v>
      </c>
      <c r="F18" s="29">
        <f>293709*('2022 IR Data Book'!$A$5)</f>
        <v>293709</v>
      </c>
      <c r="G18" s="29">
        <f>310784*('2022 IR Data Book'!$A$5)</f>
        <v>310784</v>
      </c>
      <c r="H18" s="29">
        <f>312682.133407311*('2022 IR Data Book'!$A$5)</f>
        <v>312682.13340731099</v>
      </c>
    </row>
    <row r="19" spans="2:8" x14ac:dyDescent="0.2">
      <c r="B19" s="21" t="s">
        <v>158</v>
      </c>
      <c r="C19" s="29">
        <f>251949*('2022 IR Data Book'!$A$5)</f>
        <v>251949</v>
      </c>
      <c r="D19" s="29">
        <f>61854*('2022 IR Data Book'!$A$5)</f>
        <v>61854</v>
      </c>
      <c r="E19" s="29">
        <f>372533*('2022 IR Data Book'!$A$5)</f>
        <v>372533</v>
      </c>
      <c r="F19" s="29">
        <f>57641*('2022 IR Data Book'!$A$5)</f>
        <v>57641</v>
      </c>
      <c r="G19" s="29">
        <f>57972*('2022 IR Data Book'!$A$5)</f>
        <v>57972</v>
      </c>
      <c r="H19" s="29">
        <f>10502.4383133088*('2022 IR Data Book'!$A$5)</f>
        <v>10502.438313308799</v>
      </c>
    </row>
    <row r="20" spans="2:8" x14ac:dyDescent="0.2">
      <c r="B20" s="21" t="s">
        <v>159</v>
      </c>
      <c r="C20" s="29">
        <f>798722*('2022 IR Data Book'!$A$5)</f>
        <v>798722</v>
      </c>
      <c r="D20" s="29">
        <f>842966*('2022 IR Data Book'!$A$5)</f>
        <v>842966</v>
      </c>
      <c r="E20" s="29">
        <f>778329*('2022 IR Data Book'!$A$5)</f>
        <v>778329</v>
      </c>
      <c r="F20" s="29">
        <f>711800*('2022 IR Data Book'!$A$5)</f>
        <v>711800</v>
      </c>
      <c r="G20" s="29">
        <f>704333*('2022 IR Data Book'!$A$5)</f>
        <v>704333</v>
      </c>
      <c r="H20" s="29">
        <f>581871.5*('2022 IR Data Book'!$A$5)</f>
        <v>581871.5</v>
      </c>
    </row>
    <row r="21" spans="2:8" ht="15.75" thickBot="1" x14ac:dyDescent="0.3">
      <c r="C21" s="44">
        <f t="shared" ref="C21:E21" si="1">SUM(C17:C20)</f>
        <v>2419434</v>
      </c>
      <c r="D21" s="44">
        <f t="shared" si="1"/>
        <v>2352308</v>
      </c>
      <c r="E21" s="44">
        <f t="shared" si="1"/>
        <v>2580395</v>
      </c>
      <c r="F21" s="44">
        <f>SUM(F17:F20)</f>
        <v>2282572</v>
      </c>
      <c r="G21" s="44">
        <f>SUM(G17:G20)</f>
        <v>2237274</v>
      </c>
      <c r="H21" s="44">
        <f>SUM(H17:H20)</f>
        <v>2049067.2876293599</v>
      </c>
    </row>
    <row r="22" spans="2:8" x14ac:dyDescent="0.2">
      <c r="B22" s="21" t="s">
        <v>160</v>
      </c>
      <c r="C22" s="29">
        <f>223270*('2022 IR Data Book'!$A$5)</f>
        <v>223270</v>
      </c>
      <c r="D22" s="29">
        <f>222236*('2022 IR Data Book'!$A$5)</f>
        <v>222236</v>
      </c>
      <c r="E22" s="29">
        <f>10796*('2022 IR Data Book'!$A$5)</f>
        <v>10796</v>
      </c>
      <c r="F22" s="29">
        <f>10650*('2022 IR Data Book'!$A$5)</f>
        <v>10650</v>
      </c>
      <c r="G22" s="29">
        <f>6706*('2022 IR Data Book'!$A$5)</f>
        <v>6706</v>
      </c>
      <c r="H22" s="29">
        <f>4600.82545261298*('2022 IR Data Book'!$A$5)</f>
        <v>4600.8254526129804</v>
      </c>
    </row>
    <row r="23" spans="2:8" ht="15.75" thickBot="1" x14ac:dyDescent="0.3">
      <c r="B23" s="22" t="s">
        <v>161</v>
      </c>
      <c r="C23" s="45">
        <f t="shared" ref="C23:E23" si="2">C15+C21+C22</f>
        <v>5886560</v>
      </c>
      <c r="D23" s="45">
        <f t="shared" si="2"/>
        <v>5879671</v>
      </c>
      <c r="E23" s="45">
        <f t="shared" si="2"/>
        <v>5836030</v>
      </c>
      <c r="F23" s="45">
        <f>F15+F21+F22</f>
        <v>5399948.273159612</v>
      </c>
      <c r="G23" s="45">
        <f>G15+G21+G22</f>
        <v>5326995</v>
      </c>
      <c r="H23" s="45">
        <f>H15+H21+H22</f>
        <v>5148438.4076917376</v>
      </c>
    </row>
    <row r="24" spans="2:8" ht="13.5" thickTop="1" x14ac:dyDescent="0.2">
      <c r="C24" s="29"/>
      <c r="D24" s="29"/>
      <c r="E24" s="29"/>
      <c r="F24" s="29"/>
      <c r="G24" s="29"/>
      <c r="H24" s="29"/>
    </row>
    <row r="25" spans="2:8" ht="15" x14ac:dyDescent="0.25">
      <c r="B25" s="22" t="s">
        <v>162</v>
      </c>
    </row>
    <row r="26" spans="2:8" x14ac:dyDescent="0.2">
      <c r="B26" s="21" t="s">
        <v>163</v>
      </c>
      <c r="C26" s="29">
        <f>1464100*('2022 IR Data Book'!$A$5)</f>
        <v>1464100</v>
      </c>
      <c r="D26" s="29">
        <f>1464100*('2022 IR Data Book'!$A$5)</f>
        <v>1464100</v>
      </c>
      <c r="E26" s="29">
        <f>1464100*('2022 IR Data Book'!$A$5)</f>
        <v>1464100</v>
      </c>
      <c r="F26" s="29">
        <f>1464100*('2022 IR Data Book'!$A$5)</f>
        <v>1464100</v>
      </c>
      <c r="G26" s="29">
        <f>1464100*('2022 IR Data Book'!$A$5)</f>
        <v>1464100</v>
      </c>
      <c r="H26" s="29">
        <f>1464100.0005029*('2022 IR Data Book'!$A$5)</f>
        <v>1464100.0005029</v>
      </c>
    </row>
    <row r="27" spans="2:8" x14ac:dyDescent="0.2">
      <c r="B27" s="21" t="s">
        <v>164</v>
      </c>
      <c r="C27" s="29">
        <f>408929*('2022 IR Data Book'!$A$5)</f>
        <v>408929</v>
      </c>
      <c r="D27" s="29">
        <f>408929*('2022 IR Data Book'!$A$5)</f>
        <v>408929</v>
      </c>
      <c r="E27" s="29">
        <f>(387956)*('2022 IR Data Book'!$A$5)</f>
        <v>387956</v>
      </c>
      <c r="F27" s="29">
        <f>440802*('2022 IR Data Book'!$A$5)</f>
        <v>440802</v>
      </c>
      <c r="G27" s="29">
        <f>440802*('2022 IR Data Book'!$A$5)</f>
        <v>440802</v>
      </c>
      <c r="H27" s="29">
        <f>440802.007164254*('2022 IR Data Book'!$A$5)</f>
        <v>440802.00716425403</v>
      </c>
    </row>
    <row r="28" spans="2:8" x14ac:dyDescent="0.2">
      <c r="B28" s="21" t="s">
        <v>165</v>
      </c>
      <c r="C28" s="29">
        <f>-346490*('2022 IR Data Book'!$A$5)</f>
        <v>-346490</v>
      </c>
      <c r="D28" s="29">
        <f>-330959*('2022 IR Data Book'!$A$5)</f>
        <v>-330959</v>
      </c>
      <c r="E28" s="29">
        <f>-245213*('2022 IR Data Book'!$A$5)</f>
        <v>-245213</v>
      </c>
      <c r="F28" s="29">
        <f>-398529*('2022 IR Data Book'!$A$5)</f>
        <v>-398529</v>
      </c>
      <c r="G28" s="29">
        <f>-434219*('2022 IR Data Book'!$A$5)</f>
        <v>-434219</v>
      </c>
      <c r="H28" s="29">
        <f>-440973.294269109*('2022 IR Data Book'!$A$5)</f>
        <v>-440973.29426910903</v>
      </c>
    </row>
    <row r="29" spans="2:8" x14ac:dyDescent="0.2">
      <c r="B29" s="21" t="s">
        <v>166</v>
      </c>
      <c r="C29" s="29">
        <f>-335186*('2022 IR Data Book'!$A$5)</f>
        <v>-335186</v>
      </c>
      <c r="D29" s="29">
        <f>-335186*('2022 IR Data Book'!$A$5)</f>
        <v>-335186</v>
      </c>
      <c r="E29" s="29">
        <f>(-329759)*('2022 IR Data Book'!$A$5)</f>
        <v>-329759</v>
      </c>
      <c r="F29" s="29">
        <f>-329759*('2022 IR Data Book'!$A$5)</f>
        <v>-329759</v>
      </c>
      <c r="G29" s="29">
        <f>-329759*('2022 IR Data Book'!$A$5)</f>
        <v>-329759</v>
      </c>
      <c r="H29" s="29">
        <f>-329758.835389051*('2022 IR Data Book'!$A$5)</f>
        <v>-329758.835389051</v>
      </c>
    </row>
    <row r="30" spans="2:8" x14ac:dyDescent="0.2">
      <c r="B30" s="21" t="s">
        <v>167</v>
      </c>
      <c r="C30" s="29">
        <f>-7123*('2022 IR Data Book'!$A$5)</f>
        <v>-7123</v>
      </c>
      <c r="D30" s="29">
        <f>-7148*('2022 IR Data Book'!$A$5)</f>
        <v>-7148</v>
      </c>
      <c r="E30" s="29">
        <f>-12372*('2022 IR Data Book'!$A$5)</f>
        <v>-12372</v>
      </c>
      <c r="F30" s="29">
        <f>-12008*('2022 IR Data Book'!$A$5)</f>
        <v>-12008</v>
      </c>
      <c r="G30" s="29">
        <f>-11881*('2022 IR Data Book'!$A$5)</f>
        <v>-11881</v>
      </c>
      <c r="H30" s="29">
        <f>-12015.4950132358*('2022 IR Data Book'!$A$5)</f>
        <v>-12015.495013235801</v>
      </c>
    </row>
    <row r="31" spans="2:8" x14ac:dyDescent="0.2">
      <c r="B31" s="21" t="s">
        <v>168</v>
      </c>
      <c r="C31" s="37">
        <f>1549217*('2022 IR Data Book'!$A$5)</f>
        <v>1549217</v>
      </c>
      <c r="D31" s="37">
        <f>1424350*('2022 IR Data Book'!$A$5)</f>
        <v>1424350</v>
      </c>
      <c r="E31" s="37">
        <f>1507169*('2022 IR Data Book'!$A$5)</f>
        <v>1507169</v>
      </c>
      <c r="F31" s="37">
        <f>1500570*('2022 IR Data Book'!$A$5)</f>
        <v>1500570</v>
      </c>
      <c r="G31" s="37">
        <f>1547872*('2022 IR Data Book'!$A$5)</f>
        <v>1547872</v>
      </c>
      <c r="H31" s="37">
        <f>1402107.88355813*('2022 IR Data Book'!$A$5)</f>
        <v>1402107.8835581299</v>
      </c>
    </row>
    <row r="32" spans="2:8" x14ac:dyDescent="0.2">
      <c r="C32" s="29"/>
      <c r="D32" s="29"/>
      <c r="E32" s="29"/>
      <c r="F32" s="29"/>
      <c r="G32" s="29"/>
      <c r="H32" s="29"/>
    </row>
    <row r="33" spans="2:11" ht="15" x14ac:dyDescent="0.25">
      <c r="B33" s="22" t="s">
        <v>169</v>
      </c>
      <c r="C33" s="29">
        <f>(SUM(C26:C32))</f>
        <v>2733447</v>
      </c>
      <c r="D33" s="29">
        <f t="shared" ref="D33:H33" si="3">(SUM(D26:D32))</f>
        <v>2624086</v>
      </c>
      <c r="E33" s="29">
        <f t="shared" si="3"/>
        <v>2771881</v>
      </c>
      <c r="F33" s="29">
        <f t="shared" si="3"/>
        <v>2665176</v>
      </c>
      <c r="G33" s="29">
        <f t="shared" si="3"/>
        <v>2676915</v>
      </c>
      <c r="H33" s="29">
        <f t="shared" si="3"/>
        <v>2524262.2665538881</v>
      </c>
    </row>
    <row r="34" spans="2:11" x14ac:dyDescent="0.2">
      <c r="B34" s="21" t="s">
        <v>170</v>
      </c>
      <c r="C34" s="29">
        <f>14620*('2022 IR Data Book'!$A$5)</f>
        <v>14620</v>
      </c>
      <c r="D34" s="29">
        <f>14046*('2022 IR Data Book'!$A$5)</f>
        <v>14046</v>
      </c>
      <c r="E34" s="29">
        <f>11564*('2022 IR Data Book'!$A$5)</f>
        <v>11564</v>
      </c>
      <c r="F34" s="29">
        <f>10817*('2022 IR Data Book'!$A$5)</f>
        <v>10817</v>
      </c>
      <c r="G34" s="29">
        <f>10634*('2022 IR Data Book'!$A$5)</f>
        <v>10634</v>
      </c>
      <c r="H34" s="29">
        <f>9944.41812074526*('2022 IR Data Book'!$A$5)</f>
        <v>9944.4181207452602</v>
      </c>
    </row>
    <row r="35" spans="2:11" ht="15.75" thickBot="1" x14ac:dyDescent="0.3">
      <c r="B35" s="22" t="s">
        <v>171</v>
      </c>
      <c r="C35" s="44">
        <f t="shared" ref="C35:E35" si="4">SUM(C33:C34)</f>
        <v>2748067</v>
      </c>
      <c r="D35" s="44">
        <f t="shared" si="4"/>
        <v>2638132</v>
      </c>
      <c r="E35" s="44">
        <f t="shared" si="4"/>
        <v>2783445</v>
      </c>
      <c r="F35" s="44">
        <f>SUM(F33:F34)</f>
        <v>2675993</v>
      </c>
      <c r="G35" s="44">
        <f>SUM(G33:G34)</f>
        <v>2687549</v>
      </c>
      <c r="H35" s="44">
        <f>SUM(H33:H34)</f>
        <v>2534206.6846746332</v>
      </c>
    </row>
    <row r="36" spans="2:11" x14ac:dyDescent="0.2">
      <c r="C36" s="29"/>
      <c r="D36" s="29"/>
      <c r="E36" s="29"/>
      <c r="F36" s="29"/>
      <c r="G36" s="29"/>
      <c r="H36" s="29"/>
    </row>
    <row r="37" spans="2:11" ht="15" x14ac:dyDescent="0.25">
      <c r="B37" s="22" t="s">
        <v>172</v>
      </c>
      <c r="C37" s="29"/>
      <c r="D37" s="29"/>
      <c r="E37" s="29"/>
      <c r="F37" s="29"/>
      <c r="G37" s="29"/>
      <c r="H37" s="29"/>
    </row>
    <row r="38" spans="2:11" ht="15" x14ac:dyDescent="0.25">
      <c r="B38" s="22" t="s">
        <v>173</v>
      </c>
      <c r="C38" s="29"/>
      <c r="D38" s="29"/>
      <c r="E38" s="29"/>
      <c r="F38" s="29"/>
      <c r="G38" s="29"/>
      <c r="H38" s="29"/>
    </row>
    <row r="39" spans="2:11" x14ac:dyDescent="0.2">
      <c r="B39" s="21" t="s">
        <v>174</v>
      </c>
      <c r="C39" s="29">
        <f>155368*('2022 IR Data Book'!$A$5)</f>
        <v>155368</v>
      </c>
      <c r="D39" s="29">
        <f>146488*('2022 IR Data Book'!$A$5)</f>
        <v>146488</v>
      </c>
      <c r="E39" s="29">
        <f>139069*('2022 IR Data Book'!$A$5)</f>
        <v>139069</v>
      </c>
      <c r="F39" s="29">
        <f>137259*('2022 IR Data Book'!$A$5)</f>
        <v>137259</v>
      </c>
      <c r="G39" s="29">
        <f>137922*('2022 IR Data Book'!$A$5)</f>
        <v>137922</v>
      </c>
      <c r="H39" s="29">
        <f>122172.398073862*('2022 IR Data Book'!$A$5)</f>
        <v>122172.398073862</v>
      </c>
    </row>
    <row r="40" spans="2:11" x14ac:dyDescent="0.2">
      <c r="B40" s="21" t="s">
        <v>175</v>
      </c>
      <c r="C40" s="29">
        <f>669312*('2022 IR Data Book'!$A$5)</f>
        <v>669312</v>
      </c>
      <c r="D40" s="29">
        <f>720024*('2022 IR Data Book'!$A$5)</f>
        <v>720024</v>
      </c>
      <c r="E40" s="29">
        <f>730981*('2022 IR Data Book'!$A$5)</f>
        <v>730981</v>
      </c>
      <c r="F40" s="29">
        <f>754933*('2022 IR Data Book'!$A$5)</f>
        <v>754933</v>
      </c>
      <c r="G40" s="29">
        <f>744238*('2022 IR Data Book'!$A$5)</f>
        <v>744238</v>
      </c>
      <c r="H40" s="29">
        <f>794947.789637232*('2022 IR Data Book'!$A$5)</f>
        <v>794947.78963723197</v>
      </c>
    </row>
    <row r="41" spans="2:11" x14ac:dyDescent="0.2">
      <c r="B41" s="21" t="s">
        <v>176</v>
      </c>
      <c r="C41" s="29">
        <f>152120*('2022 IR Data Book'!$A$5)</f>
        <v>152120</v>
      </c>
      <c r="D41" s="29">
        <f>151634*('2022 IR Data Book'!$A$5)</f>
        <v>151634</v>
      </c>
      <c r="E41" s="29">
        <f>151071*('2022 IR Data Book'!$A$5)</f>
        <v>151071</v>
      </c>
      <c r="F41" s="29">
        <f>148822*('2022 IR Data Book'!$A$5)</f>
        <v>148822</v>
      </c>
      <c r="G41" s="29">
        <f>148248*('2022 IR Data Book'!$A$5)</f>
        <v>148248</v>
      </c>
      <c r="H41" s="29">
        <f>152316.131298976*('2022 IR Data Book'!$A$5)</f>
        <v>152316.13129897599</v>
      </c>
      <c r="I41" s="29"/>
      <c r="J41" s="29"/>
    </row>
    <row r="42" spans="2:11" x14ac:dyDescent="0.2">
      <c r="B42" s="21" t="s">
        <v>177</v>
      </c>
      <c r="C42" s="29">
        <f>58340*('2022 IR Data Book'!$A$5)</f>
        <v>58340</v>
      </c>
      <c r="D42" s="29">
        <f>60872*('2022 IR Data Book'!$A$5)</f>
        <v>60872</v>
      </c>
      <c r="E42" s="29">
        <f>67701*('2022 IR Data Book'!$A$5)</f>
        <v>67701</v>
      </c>
      <c r="F42" s="29">
        <f>42114*('2022 IR Data Book'!$A$5)</f>
        <v>42114</v>
      </c>
      <c r="G42" s="29">
        <f>41398*('2022 IR Data Book'!$A$5)</f>
        <v>41398</v>
      </c>
      <c r="H42" s="29">
        <f>37510.7120458181*('2022 IR Data Book'!$A$5)</f>
        <v>37510.712045818102</v>
      </c>
    </row>
    <row r="43" spans="2:11" x14ac:dyDescent="0.2">
      <c r="B43" s="21" t="s">
        <v>178</v>
      </c>
      <c r="C43" s="29">
        <f>0*('2022 IR Data Book'!$A$5)</f>
        <v>0</v>
      </c>
      <c r="D43" s="29">
        <f>0*('2022 IR Data Book'!$A$5)</f>
        <v>0</v>
      </c>
      <c r="E43" s="29">
        <f>18964*('2022 IR Data Book'!$A$5)</f>
        <v>18964</v>
      </c>
      <c r="F43" s="29">
        <f>18305*('2022 IR Data Book'!$A$5)</f>
        <v>18305</v>
      </c>
      <c r="G43" s="29">
        <f>18047*('2022 IR Data Book'!$A$5)</f>
        <v>18047</v>
      </c>
      <c r="H43" s="29">
        <f>15709.402135929*('2022 IR Data Book'!$A$5)</f>
        <v>15709.402135929</v>
      </c>
    </row>
    <row r="44" spans="2:11" ht="15.75" thickBot="1" x14ac:dyDescent="0.3">
      <c r="C44" s="44">
        <f t="shared" ref="C44:E44" si="5">SUM(C39:C43)</f>
        <v>1035140</v>
      </c>
      <c r="D44" s="44">
        <f t="shared" si="5"/>
        <v>1079018</v>
      </c>
      <c r="E44" s="44">
        <f t="shared" si="5"/>
        <v>1107786</v>
      </c>
      <c r="F44" s="44">
        <f>SUM(F39:F43)</f>
        <v>1101433</v>
      </c>
      <c r="G44" s="44">
        <f>SUM(G39:G43)</f>
        <v>1089853</v>
      </c>
      <c r="H44" s="44">
        <f>SUM(H39:H43)</f>
        <v>1122656.433191817</v>
      </c>
    </row>
    <row r="45" spans="2:11" ht="15" x14ac:dyDescent="0.25">
      <c r="B45" s="22" t="s">
        <v>179</v>
      </c>
      <c r="C45" s="29"/>
      <c r="D45" s="29"/>
      <c r="E45" s="29"/>
      <c r="F45" s="29"/>
      <c r="G45" s="29"/>
      <c r="H45" s="29"/>
    </row>
    <row r="46" spans="2:11" x14ac:dyDescent="0.2">
      <c r="B46" s="21" t="s">
        <v>180</v>
      </c>
      <c r="C46" s="29">
        <f>301582*('2022 IR Data Book'!$A$5)</f>
        <v>301582</v>
      </c>
      <c r="D46" s="29">
        <f>318984*('2022 IR Data Book'!$A$5)</f>
        <v>318984</v>
      </c>
      <c r="E46" s="29">
        <f>296363*('2022 IR Data Book'!$A$5)</f>
        <v>296363</v>
      </c>
      <c r="F46" s="29">
        <f>344120*('2022 IR Data Book'!$A$5)</f>
        <v>344120</v>
      </c>
      <c r="G46" s="29">
        <f>311248*('2022 IR Data Book'!$A$5)</f>
        <v>311248</v>
      </c>
      <c r="H46" s="29">
        <f>270356.066055253*('2022 IR Data Book'!$A$5)</f>
        <v>270356.06605525297</v>
      </c>
    </row>
    <row r="47" spans="2:11" x14ac:dyDescent="0.2">
      <c r="B47" s="21" t="s">
        <v>175</v>
      </c>
      <c r="C47" s="29">
        <f>171726*('2022 IR Data Book'!$A$5)</f>
        <v>171726</v>
      </c>
      <c r="D47" s="29">
        <f>166802*('2022 IR Data Book'!$A$5)</f>
        <v>166802</v>
      </c>
      <c r="E47" s="29">
        <f>179242*('2022 IR Data Book'!$A$5)</f>
        <v>179242</v>
      </c>
      <c r="F47" s="29">
        <f>180382*('2022 IR Data Book'!$A$5)</f>
        <v>180382</v>
      </c>
      <c r="G47" s="29">
        <f>185454*('2022 IR Data Book'!$A$5)</f>
        <v>185454</v>
      </c>
      <c r="H47" s="29">
        <f>181930.801708948*('2022 IR Data Book'!$A$5)</f>
        <v>181930.80170894801</v>
      </c>
      <c r="J47" s="29"/>
      <c r="K47" s="29"/>
    </row>
    <row r="48" spans="2:11" x14ac:dyDescent="0.2">
      <c r="B48" s="21" t="s">
        <v>181</v>
      </c>
      <c r="C48" s="29">
        <f>145843*('2022 IR Data Book'!$A$5)</f>
        <v>145843</v>
      </c>
      <c r="D48" s="29">
        <f>155122*('2022 IR Data Book'!$A$5)</f>
        <v>155122</v>
      </c>
      <c r="E48" s="29">
        <f>170128*('2022 IR Data Book'!$A$5)</f>
        <v>170128</v>
      </c>
      <c r="F48" s="29">
        <f>153113*('2022 IR Data Book'!$A$5)</f>
        <v>153113</v>
      </c>
      <c r="G48" s="29">
        <f>156134*('2022 IR Data Book'!$A$5)</f>
        <v>156134</v>
      </c>
      <c r="H48" s="29">
        <f>136850.951749966*('2022 IR Data Book'!$A$5)</f>
        <v>136850.95174996601</v>
      </c>
    </row>
    <row r="49" spans="2:8" x14ac:dyDescent="0.2">
      <c r="B49" s="21" t="s">
        <v>284</v>
      </c>
      <c r="C49" s="29">
        <f>396594*('2022 IR Data Book'!$A$5)</f>
        <v>396594</v>
      </c>
      <c r="D49" s="29">
        <f>396651*('2022 IR Data Book'!$A$5)</f>
        <v>396651</v>
      </c>
      <c r="E49" s="29">
        <f>282409*('2022 IR Data Book'!$A$5)</f>
        <v>282409</v>
      </c>
      <c r="F49" s="29">
        <f>27424*('2022 IR Data Book'!$A$5)</f>
        <v>27424</v>
      </c>
      <c r="G49" s="29">
        <f>29645*('2022 IR Data Book'!$A$5)</f>
        <v>29645</v>
      </c>
      <c r="H49" s="29">
        <f>30527.0124957848*('2022 IR Data Book'!$A$5)</f>
        <v>30527.012495784798</v>
      </c>
    </row>
    <row r="50" spans="2:8" x14ac:dyDescent="0.2">
      <c r="B50" s="21" t="s">
        <v>182</v>
      </c>
      <c r="C50" s="29">
        <f>80696*('2022 IR Data Book'!$A$5)</f>
        <v>80696</v>
      </c>
      <c r="D50" s="29">
        <f>85881*('2022 IR Data Book'!$A$5)</f>
        <v>85881</v>
      </c>
      <c r="E50" s="29">
        <f>94008*('2022 IR Data Book'!$A$5)</f>
        <v>94008</v>
      </c>
      <c r="F50" s="29">
        <f>62547*('2022 IR Data Book'!$A$5)</f>
        <v>62547</v>
      </c>
      <c r="G50" s="29">
        <f>63713*('2022 IR Data Book'!$A$5)</f>
        <v>63713</v>
      </c>
      <c r="H50" s="29">
        <f>61136.7566261348*('2022 IR Data Book'!$A$5)</f>
        <v>61136.756626134797</v>
      </c>
    </row>
    <row r="51" spans="2:8" x14ac:dyDescent="0.2">
      <c r="B51" s="21" t="s">
        <v>183</v>
      </c>
      <c r="C51" s="29">
        <f>913390*('2022 IR Data Book'!$A$5)</f>
        <v>913390</v>
      </c>
      <c r="D51" s="29">
        <f>947539*('2022 IR Data Book'!$A$5)</f>
        <v>947539</v>
      </c>
      <c r="E51" s="29">
        <f>917790*('2022 IR Data Book'!$A$5)</f>
        <v>917790</v>
      </c>
      <c r="F51" s="29">
        <f>850431*('2022 IR Data Book'!$A$5)</f>
        <v>850431</v>
      </c>
      <c r="G51" s="29">
        <f>801300*('2022 IR Data Book'!$A$5)</f>
        <v>801300</v>
      </c>
      <c r="H51" s="29">
        <f>809013.043521554*('2022 IR Data Book'!$A$5)</f>
        <v>809013.04352155398</v>
      </c>
    </row>
    <row r="52" spans="2:8" ht="15.75" thickBot="1" x14ac:dyDescent="0.3">
      <c r="C52" s="44">
        <f t="shared" ref="C52:E52" si="6">SUM(C46:C51)</f>
        <v>2009831</v>
      </c>
      <c r="D52" s="44">
        <f t="shared" si="6"/>
        <v>2070979</v>
      </c>
      <c r="E52" s="44">
        <f t="shared" si="6"/>
        <v>1939940</v>
      </c>
      <c r="F52" s="44">
        <f>SUM(F46:F51)</f>
        <v>1618017</v>
      </c>
      <c r="G52" s="44">
        <f>SUM(G46:G51)</f>
        <v>1547494</v>
      </c>
      <c r="H52" s="44">
        <f>SUM(H46:H51)</f>
        <v>1489814.6321576405</v>
      </c>
    </row>
    <row r="53" spans="2:8" x14ac:dyDescent="0.2">
      <c r="B53" s="21" t="s">
        <v>184</v>
      </c>
      <c r="C53" s="29">
        <f>93522*('2022 IR Data Book'!$A$5)</f>
        <v>93522</v>
      </c>
      <c r="D53" s="29">
        <f>91542*('2022 IR Data Book'!$A$5)</f>
        <v>91542</v>
      </c>
      <c r="E53" s="29">
        <f>4859*('2022 IR Data Book'!$A$5)</f>
        <v>4859</v>
      </c>
      <c r="F53" s="29">
        <f>4505*('2022 IR Data Book'!$A$5)</f>
        <v>4505</v>
      </c>
      <c r="G53" s="29">
        <f>2099*('2022 IR Data Book'!$A$5)</f>
        <v>2099</v>
      </c>
      <c r="H53" s="29">
        <f>1760.28422364487*('2022 IR Data Book'!$A$5)</f>
        <v>1760.2842236448701</v>
      </c>
    </row>
    <row r="54" spans="2:8" ht="15" x14ac:dyDescent="0.25">
      <c r="B54" s="22" t="s">
        <v>185</v>
      </c>
      <c r="C54" s="46">
        <f t="shared" ref="C54:E54" si="7">C52+C53+C44</f>
        <v>3138493</v>
      </c>
      <c r="D54" s="46">
        <f t="shared" si="7"/>
        <v>3241539</v>
      </c>
      <c r="E54" s="46">
        <f t="shared" si="7"/>
        <v>3052585</v>
      </c>
      <c r="F54" s="46">
        <f>F52+F53+F44</f>
        <v>2723955</v>
      </c>
      <c r="G54" s="46">
        <f>G52+G53+G44</f>
        <v>2639446</v>
      </c>
      <c r="H54" s="46">
        <f>H52+H53+H44</f>
        <v>2614231.3495731023</v>
      </c>
    </row>
    <row r="55" spans="2:8" ht="15.75" thickBot="1" x14ac:dyDescent="0.3">
      <c r="B55" s="22" t="s">
        <v>186</v>
      </c>
      <c r="C55" s="45">
        <f t="shared" ref="C55:E55" si="8">C54+C35</f>
        <v>5886560</v>
      </c>
      <c r="D55" s="45">
        <f t="shared" si="8"/>
        <v>5879671</v>
      </c>
      <c r="E55" s="45">
        <f t="shared" si="8"/>
        <v>5836030</v>
      </c>
      <c r="F55" s="45">
        <f>F54+F35</f>
        <v>5399948</v>
      </c>
      <c r="G55" s="45">
        <f>G54+G35</f>
        <v>5326995</v>
      </c>
      <c r="H55" s="45">
        <f>H54+H35</f>
        <v>5148438.0342477355</v>
      </c>
    </row>
    <row r="56" spans="2:8" ht="13.5" thickTop="1" x14ac:dyDescent="0.2">
      <c r="C56" s="29">
        <f t="shared" ref="C56:E56" si="9">C55-C23</f>
        <v>0</v>
      </c>
      <c r="D56" s="29">
        <f t="shared" si="9"/>
        <v>0</v>
      </c>
      <c r="E56" s="29">
        <f t="shared" si="9"/>
        <v>0</v>
      </c>
      <c r="F56" s="29">
        <f>F55-F23</f>
        <v>-0.27315961197018623</v>
      </c>
      <c r="G56" s="29">
        <f>G55-G23</f>
        <v>0</v>
      </c>
      <c r="H56" s="29">
        <f>H55-H23</f>
        <v>-0.37344400212168694</v>
      </c>
    </row>
    <row r="57" spans="2:8" x14ac:dyDescent="0.2">
      <c r="C57" s="29"/>
      <c r="D57" s="29"/>
      <c r="E57" s="29"/>
      <c r="F57" s="29"/>
      <c r="G57" s="29"/>
      <c r="H57" s="29"/>
    </row>
    <row r="58" spans="2:8" x14ac:dyDescent="0.2">
      <c r="B58" s="21" t="s">
        <v>97</v>
      </c>
      <c r="C58" s="47">
        <v>1.6107560022649416</v>
      </c>
      <c r="D58" s="47">
        <v>1.7342174738067726</v>
      </c>
      <c r="E58" s="47">
        <v>2.0897051535855011</v>
      </c>
      <c r="F58" s="47">
        <v>1.8598371361685302</v>
      </c>
      <c r="G58" s="47">
        <v>1.4939415548169583</v>
      </c>
      <c r="H58" s="47">
        <v>1.6277306818344246</v>
      </c>
    </row>
    <row r="59" spans="2:8" x14ac:dyDescent="0.2">
      <c r="B59" s="21" t="s">
        <v>98</v>
      </c>
      <c r="C59" s="47">
        <v>1.0215638399358693</v>
      </c>
      <c r="D59" s="47">
        <v>1.0846903851031628</v>
      </c>
      <c r="E59" s="47">
        <v>1.3293163334118974</v>
      </c>
      <c r="F59" s="47">
        <v>0.85157442462839417</v>
      </c>
      <c r="G59" s="47">
        <v>0.62980770352363846</v>
      </c>
      <c r="H59" s="47">
        <v>0.54097149022594071</v>
      </c>
    </row>
    <row r="62" spans="2:8" x14ac:dyDescent="0.2">
      <c r="C62" s="29"/>
    </row>
  </sheetData>
  <pageMargins left="0.7" right="0.7" top="0.75" bottom="0.75" header="0.3" footer="0.3"/>
  <pageSetup orientation="portrait" horizontalDpi="1200" verticalDpi="1200" r:id="rId1"/>
  <ignoredErrors>
    <ignoredError sqref="G29"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F3CDC0-9463-4CAE-9B07-BEAFA8E7E04A}">
  <dimension ref="A1:I74"/>
  <sheetViews>
    <sheetView showGridLines="0" workbookViewId="0">
      <pane xSplit="2" ySplit="2" topLeftCell="C57" activePane="bottomRight" state="frozen"/>
      <selection activeCell="P28" sqref="P28"/>
      <selection pane="topRight" activeCell="P28" sqref="P28"/>
      <selection pane="bottomLeft" activeCell="P28" sqref="P28"/>
      <selection pane="bottomRight" activeCell="H82" sqref="H82"/>
    </sheetView>
  </sheetViews>
  <sheetFormatPr defaultRowHeight="12.75" x14ac:dyDescent="0.2"/>
  <cols>
    <col min="1" max="1" width="4.42578125" style="21" customWidth="1"/>
    <col min="2" max="2" width="73" style="21" bestFit="1" customWidth="1"/>
    <col min="3" max="3" width="10.42578125" style="21" bestFit="1" customWidth="1"/>
    <col min="4" max="5" width="9.28515625" style="21" bestFit="1" customWidth="1"/>
    <col min="6" max="6" width="12" style="21" customWidth="1"/>
    <col min="7" max="7" width="9.140625" style="21" customWidth="1"/>
    <col min="8" max="8" width="9.42578125" style="21" bestFit="1" customWidth="1"/>
    <col min="9" max="11" width="9.140625" style="21"/>
    <col min="12" max="12" width="36" style="21" customWidth="1"/>
    <col min="13" max="16384" width="9.140625" style="21"/>
  </cols>
  <sheetData>
    <row r="1" spans="1:8" x14ac:dyDescent="0.2">
      <c r="A1" s="189">
        <f>'2022 IR Data Book'!$A$5</f>
        <v>1</v>
      </c>
    </row>
    <row r="2" spans="1:8" x14ac:dyDescent="0.2">
      <c r="C2" s="143" t="s">
        <v>44</v>
      </c>
      <c r="D2" s="141" t="s">
        <v>45</v>
      </c>
      <c r="E2" s="143" t="s">
        <v>47</v>
      </c>
      <c r="F2" s="143" t="s">
        <v>49</v>
      </c>
      <c r="G2" s="143" t="s">
        <v>84</v>
      </c>
      <c r="H2" s="141" t="s">
        <v>85</v>
      </c>
    </row>
    <row r="3" spans="1:8" x14ac:dyDescent="0.2">
      <c r="B3" s="48" t="s">
        <v>191</v>
      </c>
      <c r="C3" s="66">
        <f>69097*('2022 IR Data Book'!$A$5)</f>
        <v>69097</v>
      </c>
      <c r="D3" s="66">
        <f>159318*('2022 IR Data Book'!$A$5)</f>
        <v>159318</v>
      </c>
      <c r="E3" s="66">
        <f>215127*('2022 IR Data Book'!$A$5)</f>
        <v>215127</v>
      </c>
      <c r="F3" s="66">
        <f>262224*('2022 IR Data Book'!$A$5)</f>
        <v>262224</v>
      </c>
      <c r="G3" s="66">
        <f>66712.9745935493*('2022 IR Data Book'!$A$5)</f>
        <v>66712.974593549297</v>
      </c>
      <c r="H3" s="66">
        <f>120074*('2022 IR Data Book'!$A$5)</f>
        <v>120074</v>
      </c>
    </row>
    <row r="4" spans="1:8" x14ac:dyDescent="0.2">
      <c r="B4" s="49" t="s">
        <v>240</v>
      </c>
      <c r="C4" s="66">
        <f>6880*('2022 IR Data Book'!$A$5)</f>
        <v>6880</v>
      </c>
      <c r="D4" s="66">
        <f>13094*('2022 IR Data Book'!$A$5)</f>
        <v>13094</v>
      </c>
      <c r="E4" s="66">
        <f>50222*('2022 IR Data Book'!$A$5)</f>
        <v>50222</v>
      </c>
      <c r="F4" s="66">
        <f>49544*('2022 IR Data Book'!$A$5)</f>
        <v>49544</v>
      </c>
      <c r="G4" s="66">
        <f>832*('2022 IR Data Book'!$A$5)</f>
        <v>832</v>
      </c>
      <c r="H4" s="66">
        <f>835*('2022 IR Data Book'!$A$5)</f>
        <v>835</v>
      </c>
    </row>
    <row r="5" spans="1:8" ht="15" x14ac:dyDescent="0.2">
      <c r="B5" s="50" t="s">
        <v>241</v>
      </c>
      <c r="C5" s="67">
        <f t="shared" ref="C5:H5" si="0">SUM(C3:C4)</f>
        <v>75977</v>
      </c>
      <c r="D5" s="67">
        <f t="shared" si="0"/>
        <v>172412</v>
      </c>
      <c r="E5" s="67">
        <f t="shared" si="0"/>
        <v>265349</v>
      </c>
      <c r="F5" s="67">
        <f t="shared" si="0"/>
        <v>311768</v>
      </c>
      <c r="G5" s="67">
        <f t="shared" si="0"/>
        <v>67544.974593549297</v>
      </c>
      <c r="H5" s="67">
        <f t="shared" si="0"/>
        <v>120909</v>
      </c>
    </row>
    <row r="6" spans="1:8" x14ac:dyDescent="0.2">
      <c r="B6" s="51" t="s">
        <v>242</v>
      </c>
      <c r="C6" s="68"/>
      <c r="D6" s="68"/>
      <c r="E6" s="68"/>
      <c r="F6" s="68"/>
      <c r="G6" s="68"/>
      <c r="H6" s="68"/>
    </row>
    <row r="7" spans="1:8" x14ac:dyDescent="0.2">
      <c r="C7" s="68"/>
      <c r="D7" s="68"/>
      <c r="E7" s="68"/>
      <c r="F7" s="68"/>
      <c r="G7" s="68"/>
      <c r="H7" s="68"/>
    </row>
    <row r="8" spans="1:8" x14ac:dyDescent="0.2">
      <c r="B8" s="51" t="s">
        <v>192</v>
      </c>
      <c r="C8" s="66"/>
      <c r="D8" s="66"/>
      <c r="E8" s="66"/>
      <c r="F8" s="66"/>
      <c r="G8" s="66"/>
      <c r="H8" s="66"/>
    </row>
    <row r="9" spans="1:8" x14ac:dyDescent="0.2">
      <c r="B9" s="52" t="s">
        <v>193</v>
      </c>
      <c r="C9" s="66">
        <f>30571*('2022 IR Data Book'!$A$5)</f>
        <v>30571</v>
      </c>
      <c r="D9" s="66">
        <f>61677*('2022 IR Data Book'!$A$5)</f>
        <v>61677</v>
      </c>
      <c r="E9" s="66">
        <f>85002*('2022 IR Data Book'!$A$5)</f>
        <v>85002</v>
      </c>
      <c r="F9" s="66">
        <f>111307*('2022 IR Data Book'!$A$5)</f>
        <v>111307</v>
      </c>
      <c r="G9" s="66">
        <f>27620*('2022 IR Data Book'!$A$5)</f>
        <v>27620</v>
      </c>
      <c r="H9" s="66">
        <f>55985*('2022 IR Data Book'!$A$5)</f>
        <v>55985</v>
      </c>
    </row>
    <row r="10" spans="1:8" x14ac:dyDescent="0.2">
      <c r="B10" s="52" t="s">
        <v>194</v>
      </c>
      <c r="C10" s="66">
        <f>64487*('2022 IR Data Book'!$A$5)</f>
        <v>64487</v>
      </c>
      <c r="D10" s="66">
        <f>131046*('2022 IR Data Book'!$A$5)</f>
        <v>131046</v>
      </c>
      <c r="E10" s="66">
        <f>191720*('2022 IR Data Book'!$A$5)</f>
        <v>191720</v>
      </c>
      <c r="F10" s="66">
        <f>254551*('2022 IR Data Book'!$A$5)</f>
        <v>254551</v>
      </c>
      <c r="G10" s="66">
        <f>66011*('2022 IR Data Book'!$A$5)</f>
        <v>66011</v>
      </c>
      <c r="H10" s="66">
        <f>129606*('2022 IR Data Book'!$A$5)</f>
        <v>129606</v>
      </c>
    </row>
    <row r="11" spans="1:8" x14ac:dyDescent="0.2">
      <c r="B11" s="52" t="s">
        <v>245</v>
      </c>
      <c r="C11" s="66">
        <f>2222*('2022 IR Data Book'!$A$5)</f>
        <v>2222</v>
      </c>
      <c r="D11" s="66">
        <f>4442*('2022 IR Data Book'!$A$5)</f>
        <v>4442</v>
      </c>
      <c r="E11" s="66">
        <f>4371*('2022 IR Data Book'!$A$5)</f>
        <v>4371</v>
      </c>
      <c r="F11" s="66">
        <f>5064*('2022 IR Data Book'!$A$5)</f>
        <v>5064</v>
      </c>
      <c r="G11" s="66">
        <f>692*('2022 IR Data Book'!$A$5)</f>
        <v>692</v>
      </c>
      <c r="H11" s="66">
        <f>1383*('2022 IR Data Book'!$A$5)</f>
        <v>1383</v>
      </c>
    </row>
    <row r="12" spans="1:8" x14ac:dyDescent="0.2">
      <c r="B12" s="52" t="s">
        <v>195</v>
      </c>
      <c r="C12" s="66">
        <f>8206*('2022 IR Data Book'!$A$5)</f>
        <v>8206</v>
      </c>
      <c r="D12" s="66">
        <f>22690*('2022 IR Data Book'!$A$5)</f>
        <v>22690</v>
      </c>
      <c r="E12" s="66">
        <f>26981*('2022 IR Data Book'!$A$5)</f>
        <v>26981</v>
      </c>
      <c r="F12" s="66">
        <f>33813*('2022 IR Data Book'!$A$5)</f>
        <v>33813</v>
      </c>
      <c r="G12" s="66">
        <f>6035*('2022 IR Data Book'!$A$5)</f>
        <v>6035</v>
      </c>
      <c r="H12" s="66">
        <f>17071*('2022 IR Data Book'!$A$5)</f>
        <v>17071</v>
      </c>
    </row>
    <row r="13" spans="1:8" x14ac:dyDescent="0.2">
      <c r="B13" s="52" t="s">
        <v>196</v>
      </c>
      <c r="C13" s="66">
        <f>3787*('2022 IR Data Book'!$A$5)</f>
        <v>3787</v>
      </c>
      <c r="D13" s="66">
        <f>13626*('2022 IR Data Book'!$A$5)</f>
        <v>13626</v>
      </c>
      <c r="E13" s="66">
        <f>17804*('2022 IR Data Book'!$A$5)</f>
        <v>17804</v>
      </c>
      <c r="F13" s="66">
        <f>15760*('2022 IR Data Book'!$A$5)</f>
        <v>15760</v>
      </c>
      <c r="G13" s="66">
        <f>4942*('2022 IR Data Book'!$A$5)</f>
        <v>4942</v>
      </c>
      <c r="H13" s="66">
        <f>9760*('2022 IR Data Book'!$A$5)</f>
        <v>9760</v>
      </c>
    </row>
    <row r="14" spans="1:8" x14ac:dyDescent="0.2">
      <c r="B14" s="52" t="s">
        <v>197</v>
      </c>
      <c r="C14" s="66">
        <f>1295*('2022 IR Data Book'!$A$5)</f>
        <v>1295</v>
      </c>
      <c r="D14" s="66">
        <f>3502*('2022 IR Data Book'!$A$5)</f>
        <v>3502</v>
      </c>
      <c r="E14" s="66">
        <f>(10624-5047)*('2022 IR Data Book'!$A$5)</f>
        <v>5577</v>
      </c>
      <c r="F14" s="66">
        <f>6906*('2022 IR Data Book'!$A$5)</f>
        <v>6906</v>
      </c>
      <c r="G14" s="66">
        <f>1523*('2022 IR Data Book'!$A$5)</f>
        <v>1523</v>
      </c>
      <c r="H14" s="66">
        <f>3532*('2022 IR Data Book'!$A$5)</f>
        <v>3532</v>
      </c>
    </row>
    <row r="15" spans="1:8" x14ac:dyDescent="0.2">
      <c r="B15" s="52" t="s">
        <v>198</v>
      </c>
      <c r="C15" s="66">
        <f>12450*('2022 IR Data Book'!$A$5)</f>
        <v>12450</v>
      </c>
      <c r="D15" s="66">
        <f>24823*('2022 IR Data Book'!$A$5)</f>
        <v>24823</v>
      </c>
      <c r="E15" s="66">
        <f>35784*('2022 IR Data Book'!$A$5)</f>
        <v>35784</v>
      </c>
      <c r="F15" s="66">
        <f>47106*('2022 IR Data Book'!$A$5)</f>
        <v>47106</v>
      </c>
      <c r="G15" s="66">
        <f>10353*('2022 IR Data Book'!$A$5)</f>
        <v>10353</v>
      </c>
      <c r="H15" s="66">
        <f>22724*('2022 IR Data Book'!$A$5)</f>
        <v>22724</v>
      </c>
    </row>
    <row r="16" spans="1:8" x14ac:dyDescent="0.2">
      <c r="B16" s="52" t="s">
        <v>199</v>
      </c>
      <c r="C16" s="66">
        <f>-2685*('2022 IR Data Book'!$A$5)</f>
        <v>-2685</v>
      </c>
      <c r="D16" s="66">
        <f>-7293*('2022 IR Data Book'!$A$5)</f>
        <v>-7293</v>
      </c>
      <c r="E16" s="66">
        <f>-9205*('2022 IR Data Book'!$A$5)</f>
        <v>-9205</v>
      </c>
      <c r="F16" s="66">
        <f>-10232*('2022 IR Data Book'!$A$5)</f>
        <v>-10232</v>
      </c>
      <c r="G16" s="66">
        <f>-3556*('2022 IR Data Book'!$A$5)</f>
        <v>-3556</v>
      </c>
      <c r="H16" s="66">
        <f>-7720*('2022 IR Data Book'!$A$5)</f>
        <v>-7720</v>
      </c>
    </row>
    <row r="17" spans="2:9" x14ac:dyDescent="0.2">
      <c r="B17" s="52" t="s">
        <v>200</v>
      </c>
      <c r="C17" s="66">
        <f>0*('2022 IR Data Book'!$A$5)</f>
        <v>0</v>
      </c>
      <c r="D17" s="66">
        <f>0*('2022 IR Data Book'!$A$5)</f>
        <v>0</v>
      </c>
      <c r="E17" s="66">
        <f>0*('2022 IR Data Book'!$A$5)</f>
        <v>0</v>
      </c>
      <c r="F17" s="66">
        <f>2975*('2022 IR Data Book'!$A$5)</f>
        <v>2975</v>
      </c>
      <c r="G17" s="66">
        <f>0*('2022 IR Data Book'!$A$5)</f>
        <v>0</v>
      </c>
      <c r="H17" s="66">
        <f>0*('2022 IR Data Book'!$A$5)</f>
        <v>0</v>
      </c>
    </row>
    <row r="18" spans="2:9" x14ac:dyDescent="0.2">
      <c r="B18" s="52" t="s">
        <v>201</v>
      </c>
      <c r="C18" s="66">
        <f>-1616*('2022 IR Data Book'!$A$5)</f>
        <v>-1616</v>
      </c>
      <c r="D18" s="66">
        <f>-1824*('2022 IR Data Book'!$A$5)</f>
        <v>-1824</v>
      </c>
      <c r="E18" s="66">
        <f>-1618*('2022 IR Data Book'!$A$5)</f>
        <v>-1618</v>
      </c>
      <c r="F18" s="66">
        <f>-413*('2022 IR Data Book'!$A$5)</f>
        <v>-413</v>
      </c>
      <c r="G18" s="66">
        <f>4901*('2022 IR Data Book'!$A$5)</f>
        <v>4901</v>
      </c>
      <c r="H18" s="66">
        <f>10897*('2022 IR Data Book'!$A$5)</f>
        <v>10897</v>
      </c>
    </row>
    <row r="19" spans="2:9" x14ac:dyDescent="0.2">
      <c r="B19" s="52" t="s">
        <v>202</v>
      </c>
      <c r="C19" s="66">
        <f>0*('2022 IR Data Book'!$A$5)</f>
        <v>0</v>
      </c>
      <c r="D19" s="66">
        <f>0*('2022 IR Data Book'!$A$5)</f>
        <v>0</v>
      </c>
      <c r="E19" s="66">
        <f>-31608*('2022 IR Data Book'!$A$5)</f>
        <v>-31608</v>
      </c>
      <c r="F19" s="66">
        <f>-31608*('2022 IR Data Book'!$A$5)</f>
        <v>-31608</v>
      </c>
      <c r="G19" s="66">
        <f>-800*('2022 IR Data Book'!$A$5)</f>
        <v>-800</v>
      </c>
      <c r="H19" s="66">
        <f>-800*('2022 IR Data Book'!$A$5)</f>
        <v>-800</v>
      </c>
    </row>
    <row r="20" spans="2:9" x14ac:dyDescent="0.2">
      <c r="B20" s="232" t="s">
        <v>203</v>
      </c>
      <c r="C20" s="233">
        <f>0*('2022 IR Data Book'!$A$5)</f>
        <v>0</v>
      </c>
      <c r="D20" s="233">
        <f>0*('2022 IR Data Book'!$A$5)</f>
        <v>0</v>
      </c>
      <c r="E20" s="233">
        <f>0*('2022 IR Data Book'!$A$5)</f>
        <v>0</v>
      </c>
      <c r="F20" s="233">
        <f>-20812*('2022 IR Data Book'!$A$5)</f>
        <v>-20812</v>
      </c>
      <c r="G20" s="233">
        <f>0*('2022 IR Data Book'!$A$5)</f>
        <v>0</v>
      </c>
      <c r="H20" s="233">
        <f>0*('2022 IR Data Book'!$A$5)</f>
        <v>0</v>
      </c>
      <c r="I20" s="84"/>
    </row>
    <row r="21" spans="2:9" ht="15" x14ac:dyDescent="0.2">
      <c r="B21" s="232"/>
      <c r="C21" s="234">
        <f t="shared" ref="C21:H21" si="1">SUM(C5:C20)</f>
        <v>194694</v>
      </c>
      <c r="D21" s="234">
        <f t="shared" si="1"/>
        <v>425101</v>
      </c>
      <c r="E21" s="234">
        <f t="shared" si="1"/>
        <v>590157</v>
      </c>
      <c r="F21" s="234">
        <f t="shared" si="1"/>
        <v>726185</v>
      </c>
      <c r="G21" s="234">
        <f t="shared" si="1"/>
        <v>185265.9745935493</v>
      </c>
      <c r="H21" s="234">
        <f t="shared" si="1"/>
        <v>363347</v>
      </c>
      <c r="I21" s="84"/>
    </row>
    <row r="22" spans="2:9" x14ac:dyDescent="0.2">
      <c r="C22" s="68"/>
      <c r="D22" s="68"/>
      <c r="E22" s="68"/>
      <c r="F22" s="68"/>
      <c r="G22" s="68"/>
      <c r="H22" s="68"/>
    </row>
    <row r="23" spans="2:9" x14ac:dyDescent="0.2">
      <c r="B23" s="51" t="s">
        <v>204</v>
      </c>
      <c r="C23" s="66"/>
      <c r="D23" s="66"/>
      <c r="E23" s="66"/>
      <c r="F23" s="66"/>
      <c r="G23" s="66"/>
      <c r="H23" s="66"/>
    </row>
    <row r="24" spans="2:9" x14ac:dyDescent="0.2">
      <c r="B24" s="52" t="s">
        <v>205</v>
      </c>
      <c r="C24" s="66">
        <f>16527*('2022 IR Data Book'!$A$5)</f>
        <v>16527</v>
      </c>
      <c r="D24" s="66">
        <f>-60869*('2022 IR Data Book'!$A$5)</f>
        <v>-60869</v>
      </c>
      <c r="E24" s="66">
        <f>-31519*('2022 IR Data Book'!$A$5)</f>
        <v>-31519</v>
      </c>
      <c r="F24" s="66">
        <f>-174292*('2022 IR Data Book'!$A$5)</f>
        <v>-174292</v>
      </c>
      <c r="G24" s="66">
        <f>50503*('2022 IR Data Book'!$A$5)</f>
        <v>50503</v>
      </c>
      <c r="H24" s="66">
        <f>65762*('2022 IR Data Book'!$A$5)</f>
        <v>65762</v>
      </c>
    </row>
    <row r="25" spans="2:9" x14ac:dyDescent="0.2">
      <c r="B25" s="52" t="s">
        <v>206</v>
      </c>
      <c r="C25" s="66">
        <f>-24343*('2022 IR Data Book'!$A$5)</f>
        <v>-24343</v>
      </c>
      <c r="D25" s="66">
        <f>-5662*('2022 IR Data Book'!$A$5)</f>
        <v>-5662</v>
      </c>
      <c r="E25" s="66">
        <f>-31622*('2022 IR Data Book'!$A$5)</f>
        <v>-31622</v>
      </c>
      <c r="F25" s="66">
        <f>16676*('2022 IR Data Book'!$A$5)</f>
        <v>16676</v>
      </c>
      <c r="G25" s="66">
        <f>-32385.840330583*('2022 IR Data Book'!$A$5)</f>
        <v>-32385.840330583</v>
      </c>
      <c r="H25" s="66">
        <f>-76633*('2022 IR Data Book'!$A$5)</f>
        <v>-76633</v>
      </c>
    </row>
    <row r="26" spans="2:9" x14ac:dyDescent="0.2">
      <c r="B26" s="52" t="s">
        <v>207</v>
      </c>
      <c r="C26" s="66">
        <f>-26200*('2022 IR Data Book'!$A$5)</f>
        <v>-26200</v>
      </c>
      <c r="D26" s="66">
        <f>-40096*('2022 IR Data Book'!$A$5)</f>
        <v>-40096</v>
      </c>
      <c r="E26" s="66">
        <f>-34567*('2022 IR Data Book'!$A$5)</f>
        <v>-34567</v>
      </c>
      <c r="F26" s="66">
        <f>25240*('2022 IR Data Book'!$A$5)</f>
        <v>25240</v>
      </c>
      <c r="G26" s="66">
        <f>-16854*('2022 IR Data Book'!$A$5)</f>
        <v>-16854</v>
      </c>
      <c r="H26" s="66">
        <f>-18635*('2022 IR Data Book'!$A$5)</f>
        <v>-18635</v>
      </c>
    </row>
    <row r="27" spans="2:9" x14ac:dyDescent="0.2">
      <c r="B27" s="52" t="s">
        <v>208</v>
      </c>
      <c r="C27" s="66">
        <f>-121872*('2022 IR Data Book'!$A$5)</f>
        <v>-121872</v>
      </c>
      <c r="D27" s="66">
        <f>-88003*('2022 IR Data Book'!$A$5)</f>
        <v>-88003</v>
      </c>
      <c r="E27" s="66">
        <f>-120889*('2022 IR Data Book'!$A$5)</f>
        <v>-120889</v>
      </c>
      <c r="F27" s="66">
        <f>-166484*('2022 IR Data Book'!$A$5)</f>
        <v>-166484</v>
      </c>
      <c r="G27" s="66">
        <f>-49724*('2022 IR Data Book'!$A$5)</f>
        <v>-49724</v>
      </c>
      <c r="H27" s="66">
        <f>-41966*('2022 IR Data Book'!$A$5)</f>
        <v>-41966</v>
      </c>
    </row>
    <row r="28" spans="2:9" x14ac:dyDescent="0.2">
      <c r="B28" s="52" t="s">
        <v>209</v>
      </c>
      <c r="C28" s="69">
        <f>0*('2022 IR Data Book'!$A$5)</f>
        <v>0</v>
      </c>
      <c r="D28" s="69">
        <f>0*('2022 IR Data Book'!$A$5)</f>
        <v>0</v>
      </c>
      <c r="E28" s="69">
        <f>18964*('2022 IR Data Book'!$A$5)</f>
        <v>18964</v>
      </c>
      <c r="F28" s="69">
        <f>18305*('2022 IR Data Book'!$A$5)</f>
        <v>18305</v>
      </c>
      <c r="G28" s="69">
        <f>0*('2022 IR Data Book'!$A$5)</f>
        <v>0</v>
      </c>
      <c r="H28" s="69">
        <f>0*('2022 IR Data Book'!$A$5)</f>
        <v>0</v>
      </c>
    </row>
    <row r="29" spans="2:9" x14ac:dyDescent="0.2">
      <c r="C29" s="70"/>
      <c r="D29" s="70"/>
      <c r="E29" s="70"/>
      <c r="F29" s="70"/>
      <c r="G29" s="70"/>
      <c r="H29" s="70"/>
    </row>
    <row r="30" spans="2:9" ht="25.5" x14ac:dyDescent="0.2">
      <c r="B30" s="53" t="s">
        <v>210</v>
      </c>
      <c r="C30" s="71">
        <f t="shared" ref="C30:H30" si="2">C21+SUM(C24:C28)</f>
        <v>38806</v>
      </c>
      <c r="D30" s="71">
        <f t="shared" si="2"/>
        <v>230471</v>
      </c>
      <c r="E30" s="71">
        <f t="shared" si="2"/>
        <v>390524</v>
      </c>
      <c r="F30" s="71">
        <f t="shared" si="2"/>
        <v>445630</v>
      </c>
      <c r="G30" s="71">
        <f t="shared" si="2"/>
        <v>136805.13426296628</v>
      </c>
      <c r="H30" s="71">
        <f t="shared" si="2"/>
        <v>291875</v>
      </c>
    </row>
    <row r="31" spans="2:9" x14ac:dyDescent="0.2">
      <c r="C31" s="66"/>
      <c r="D31" s="66"/>
      <c r="E31" s="66"/>
      <c r="F31" s="66"/>
      <c r="G31" s="66"/>
      <c r="H31" s="66"/>
    </row>
    <row r="32" spans="2:9" x14ac:dyDescent="0.2">
      <c r="B32" s="52" t="s">
        <v>211</v>
      </c>
      <c r="C32" s="68">
        <f>-4565*('2022 IR Data Book'!$A$5)</f>
        <v>-4565</v>
      </c>
      <c r="D32" s="68">
        <f>-19262*('2022 IR Data Book'!$A$5)</f>
        <v>-19262</v>
      </c>
      <c r="E32" s="68">
        <f>-24728*('2022 IR Data Book'!$A$5)</f>
        <v>-24728</v>
      </c>
      <c r="F32" s="68">
        <f>-31732*('2022 IR Data Book'!$A$5)</f>
        <v>-31732</v>
      </c>
      <c r="G32" s="68">
        <f>-6375*('2022 IR Data Book'!$A$5)</f>
        <v>-6375</v>
      </c>
      <c r="H32" s="68">
        <f>-12681*('2022 IR Data Book'!$A$5)</f>
        <v>-12681</v>
      </c>
    </row>
    <row r="33" spans="2:8" x14ac:dyDescent="0.2">
      <c r="B33" s="52" t="s">
        <v>212</v>
      </c>
      <c r="C33" s="68">
        <f>-23078*('2022 IR Data Book'!$A$5)</f>
        <v>-23078</v>
      </c>
      <c r="D33" s="68">
        <f>-49099*('2022 IR Data Book'!$A$5)</f>
        <v>-49099</v>
      </c>
      <c r="E33" s="68">
        <f>-61465*('2022 IR Data Book'!$A$5)</f>
        <v>-61465</v>
      </c>
      <c r="F33" s="68">
        <f>-96549*('2022 IR Data Book'!$A$5)</f>
        <v>-96549</v>
      </c>
      <c r="G33" s="68">
        <f>-15971*('2022 IR Data Book'!$A$5)</f>
        <v>-15971</v>
      </c>
      <c r="H33" s="68">
        <f>-36928*('2022 IR Data Book'!$A$5)</f>
        <v>-36928</v>
      </c>
    </row>
    <row r="34" spans="2:8" ht="15" x14ac:dyDescent="0.2">
      <c r="B34" s="51" t="s">
        <v>213</v>
      </c>
      <c r="C34" s="57">
        <f t="shared" ref="C34:H34" si="3">SUM(C30:C33)</f>
        <v>11163</v>
      </c>
      <c r="D34" s="57">
        <f t="shared" si="3"/>
        <v>162110</v>
      </c>
      <c r="E34" s="57">
        <f t="shared" si="3"/>
        <v>304331</v>
      </c>
      <c r="F34" s="57">
        <f t="shared" si="3"/>
        <v>317349</v>
      </c>
      <c r="G34" s="57">
        <f t="shared" si="3"/>
        <v>114459.13426296628</v>
      </c>
      <c r="H34" s="57">
        <f t="shared" si="3"/>
        <v>242266</v>
      </c>
    </row>
    <row r="35" spans="2:8" x14ac:dyDescent="0.2">
      <c r="C35" s="68"/>
      <c r="D35" s="68"/>
      <c r="E35" s="68"/>
      <c r="F35" s="68"/>
      <c r="G35" s="68"/>
      <c r="H35" s="68"/>
    </row>
    <row r="36" spans="2:8" x14ac:dyDescent="0.2">
      <c r="B36" s="48" t="s">
        <v>214</v>
      </c>
      <c r="C36" s="68"/>
      <c r="D36" s="68"/>
      <c r="E36" s="68"/>
      <c r="F36" s="68"/>
      <c r="G36" s="68"/>
      <c r="H36" s="68"/>
    </row>
    <row r="37" spans="2:8" x14ac:dyDescent="0.2">
      <c r="B37" s="52" t="s">
        <v>215</v>
      </c>
      <c r="C37" s="68">
        <f>-34074*('2022 IR Data Book'!$A$5)</f>
        <v>-34074</v>
      </c>
      <c r="D37" s="68">
        <f>-63319*('2022 IR Data Book'!$A$5)</f>
        <v>-63319</v>
      </c>
      <c r="E37" s="68">
        <f>-99376*('2022 IR Data Book'!$A$5)</f>
        <v>-99376</v>
      </c>
      <c r="F37" s="68">
        <f>-128597*('2022 IR Data Book'!$A$5)</f>
        <v>-128597</v>
      </c>
      <c r="G37" s="68">
        <f>-15766*('2022 IR Data Book'!$A$5)</f>
        <v>-15766</v>
      </c>
      <c r="H37" s="68">
        <f>-39025*('2022 IR Data Book'!$A$5)</f>
        <v>-39025</v>
      </c>
    </row>
    <row r="38" spans="2:8" x14ac:dyDescent="0.2">
      <c r="B38" s="52" t="s">
        <v>216</v>
      </c>
      <c r="C38" s="68">
        <f>2634*('2022 IR Data Book'!$A$5)</f>
        <v>2634</v>
      </c>
      <c r="D38" s="68">
        <f>2908*('2022 IR Data Book'!$A$5)</f>
        <v>2908</v>
      </c>
      <c r="E38" s="68">
        <f>5654*('2022 IR Data Book'!$A$5)</f>
        <v>5654</v>
      </c>
      <c r="F38" s="68">
        <f>6277*('2022 IR Data Book'!$A$5)</f>
        <v>6277</v>
      </c>
      <c r="G38" s="68">
        <f>708*('2022 IR Data Book'!$A$5)</f>
        <v>708</v>
      </c>
      <c r="H38" s="68">
        <f>1376*('2022 IR Data Book'!$A$5)</f>
        <v>1376</v>
      </c>
    </row>
    <row r="39" spans="2:8" x14ac:dyDescent="0.2">
      <c r="B39" s="52" t="s">
        <v>217</v>
      </c>
      <c r="C39" s="68">
        <f>0*('2022 IR Data Book'!$A$5)</f>
        <v>0</v>
      </c>
      <c r="D39" s="68">
        <f>0*('2022 IR Data Book'!$A$5)</f>
        <v>0</v>
      </c>
      <c r="E39" s="68">
        <f>0*('2022 IR Data Book'!$A$5)</f>
        <v>0</v>
      </c>
      <c r="F39" s="68">
        <f>0*('2022 IR Data Book'!$A$5)</f>
        <v>0</v>
      </c>
      <c r="G39" s="68">
        <f>0*('2022 IR Data Book'!$A$5)</f>
        <v>0</v>
      </c>
      <c r="H39" s="68">
        <f>0*('2022 IR Data Book'!$A$5)</f>
        <v>0</v>
      </c>
    </row>
    <row r="40" spans="2:8" x14ac:dyDescent="0.2">
      <c r="B40" s="52" t="s">
        <v>218</v>
      </c>
      <c r="C40" s="68">
        <f>2332*('2022 IR Data Book'!$A$5)</f>
        <v>2332</v>
      </c>
      <c r="D40" s="68">
        <f>3855*('2022 IR Data Book'!$A$5)</f>
        <v>3855</v>
      </c>
      <c r="E40" s="68">
        <f>5047*('2022 IR Data Book'!$A$5)</f>
        <v>5047</v>
      </c>
      <c r="F40" s="68">
        <f>6406*('2022 IR Data Book'!$A$5)</f>
        <v>6406</v>
      </c>
      <c r="G40" s="68">
        <f>991*('2022 IR Data Book'!$A$5)</f>
        <v>991</v>
      </c>
      <c r="H40" s="68">
        <f>1996*('2022 IR Data Book'!$A$5)</f>
        <v>1996</v>
      </c>
    </row>
    <row r="41" spans="2:8" x14ac:dyDescent="0.2">
      <c r="B41" s="52" t="s">
        <v>219</v>
      </c>
      <c r="C41" s="68">
        <f>-1535*('2022 IR Data Book'!$A$5)</f>
        <v>-1535</v>
      </c>
      <c r="D41" s="68">
        <f>662*('2022 IR Data Book'!$A$5)</f>
        <v>662</v>
      </c>
      <c r="E41" s="68">
        <f>250*('2022 IR Data Book'!$A$5)</f>
        <v>250</v>
      </c>
      <c r="F41" s="68">
        <f>-421*('2022 IR Data Book'!$A$5)</f>
        <v>-421</v>
      </c>
      <c r="G41" s="68">
        <f>165*('2022 IR Data Book'!$A$5)</f>
        <v>165</v>
      </c>
      <c r="H41" s="68">
        <f>360*('2022 IR Data Book'!$A$5)</f>
        <v>360</v>
      </c>
    </row>
    <row r="42" spans="2:8" x14ac:dyDescent="0.2">
      <c r="B42" s="52" t="s">
        <v>220</v>
      </c>
      <c r="C42" s="68">
        <f>0*('2022 IR Data Book'!$A$5)</f>
        <v>0</v>
      </c>
      <c r="D42" s="68">
        <f>0*('2022 IR Data Book'!$A$5)</f>
        <v>0</v>
      </c>
      <c r="E42" s="68">
        <f>289566*('2022 IR Data Book'!$A$5)</f>
        <v>289566</v>
      </c>
      <c r="F42" s="68">
        <f>289566*('2022 IR Data Book'!$A$5)</f>
        <v>289566</v>
      </c>
      <c r="G42" s="68">
        <f>2545*('2022 IR Data Book'!$A$5)</f>
        <v>2545</v>
      </c>
      <c r="H42" s="68">
        <f>2545*('2022 IR Data Book'!$A$5)</f>
        <v>2545</v>
      </c>
    </row>
    <row r="43" spans="2:8" x14ac:dyDescent="0.2">
      <c r="B43" s="52" t="s">
        <v>246</v>
      </c>
      <c r="C43" s="68">
        <f>0*('2022 IR Data Book'!$A$5)</f>
        <v>0</v>
      </c>
      <c r="D43" s="68">
        <f>-4659*('2022 IR Data Book'!$A$5)</f>
        <v>-4659</v>
      </c>
      <c r="E43" s="68">
        <f>-5142*('2022 IR Data Book'!$A$5)</f>
        <v>-5142</v>
      </c>
      <c r="F43" s="68">
        <f>0*('2022 IR Data Book'!$A$5)</f>
        <v>0</v>
      </c>
      <c r="G43" s="68">
        <f>0*('2022 IR Data Book'!$A$5)</f>
        <v>0</v>
      </c>
      <c r="H43" s="68">
        <f>0*('2022 IR Data Book'!$A$5)</f>
        <v>0</v>
      </c>
    </row>
    <row r="44" spans="2:8" x14ac:dyDescent="0.2">
      <c r="B44" s="52" t="s">
        <v>221</v>
      </c>
      <c r="C44" s="68">
        <f>4557*('2022 IR Data Book'!$A$5)</f>
        <v>4557</v>
      </c>
      <c r="D44" s="68">
        <f>4557*('2022 IR Data Book'!$A$5)</f>
        <v>4557</v>
      </c>
      <c r="E44" s="68">
        <f>13209*('2022 IR Data Book'!$A$5)</f>
        <v>13209</v>
      </c>
      <c r="F44" s="68">
        <f>13209*('2022 IR Data Book'!$A$5)</f>
        <v>13209</v>
      </c>
      <c r="G44" s="68">
        <f>0*('2022 IR Data Book'!$A$5)</f>
        <v>0</v>
      </c>
      <c r="H44" s="68">
        <f>8728*('2022 IR Data Book'!$A$5)</f>
        <v>8728</v>
      </c>
    </row>
    <row r="45" spans="2:8" x14ac:dyDescent="0.2">
      <c r="B45" s="52" t="s">
        <v>222</v>
      </c>
      <c r="C45" s="68">
        <f>0*('2022 IR Data Book'!$A$5)</f>
        <v>0</v>
      </c>
      <c r="D45" s="68">
        <f>0*('2022 IR Data Book'!$A$5)</f>
        <v>0</v>
      </c>
      <c r="E45" s="68">
        <f>0*('2022 IR Data Book'!$A$5)</f>
        <v>0</v>
      </c>
      <c r="F45" s="68">
        <f>-4895*('2022 IR Data Book'!$A$5)</f>
        <v>-4895</v>
      </c>
      <c r="G45" s="68">
        <f>0*('2022 IR Data Book'!$A$5)</f>
        <v>0</v>
      </c>
      <c r="H45" s="68">
        <f>0*('2022 IR Data Book'!$A$5)</f>
        <v>0</v>
      </c>
    </row>
    <row r="46" spans="2:8" x14ac:dyDescent="0.2">
      <c r="B46" s="52" t="s">
        <v>223</v>
      </c>
      <c r="C46" s="68">
        <f>218*('2022 IR Data Book'!$A$5)</f>
        <v>218</v>
      </c>
      <c r="D46" s="68">
        <f>964*('2022 IR Data Book'!$A$5)</f>
        <v>964</v>
      </c>
      <c r="E46" s="68">
        <f>1099*('2022 IR Data Book'!$A$5)</f>
        <v>1099</v>
      </c>
      <c r="F46" s="68">
        <f>117*('2022 IR Data Book'!$A$5)</f>
        <v>117</v>
      </c>
      <c r="G46" s="68">
        <f>16*('2022 IR Data Book'!$A$5)</f>
        <v>16</v>
      </c>
      <c r="H46" s="68">
        <f>196*('2022 IR Data Book'!$A$5)</f>
        <v>196</v>
      </c>
    </row>
    <row r="47" spans="2:8" x14ac:dyDescent="0.2">
      <c r="B47" s="52" t="s">
        <v>224</v>
      </c>
      <c r="C47" s="68">
        <f>-2777*('2022 IR Data Book'!$A$5)</f>
        <v>-2777</v>
      </c>
      <c r="D47" s="68">
        <f>-7758*('2022 IR Data Book'!$A$5)</f>
        <v>-7758</v>
      </c>
      <c r="E47" s="68">
        <f>0*('2022 IR Data Book'!$A$5)</f>
        <v>0</v>
      </c>
      <c r="F47" s="68">
        <f>-12132*('2022 IR Data Book'!$A$5)</f>
        <v>-12132</v>
      </c>
      <c r="G47" s="68">
        <f>-815*('2022 IR Data Book'!$A$5)</f>
        <v>-815</v>
      </c>
      <c r="H47" s="68">
        <f>2743*('2022 IR Data Book'!$A$5)</f>
        <v>2743</v>
      </c>
    </row>
    <row r="48" spans="2:8" x14ac:dyDescent="0.2">
      <c r="B48" s="52" t="s">
        <v>243</v>
      </c>
      <c r="C48" s="68">
        <f>410*('2022 IR Data Book'!$A$5)</f>
        <v>410</v>
      </c>
      <c r="D48" s="68">
        <f>190505*('2022 IR Data Book'!$A$5)</f>
        <v>190505</v>
      </c>
      <c r="E48" s="68">
        <f>-120174*('2022 IR Data Book'!$A$5)</f>
        <v>-120174</v>
      </c>
      <c r="F48" s="68">
        <f>(1901+195040)*('2022 IR Data Book'!$A$5)</f>
        <v>196941</v>
      </c>
      <c r="G48" s="68">
        <f>128*('2022 IR Data Book'!$A$5)</f>
        <v>128</v>
      </c>
      <c r="H48" s="68">
        <f>45155*('2022 IR Data Book'!$A$5)</f>
        <v>45155</v>
      </c>
    </row>
    <row r="49" spans="2:8" x14ac:dyDescent="0.2">
      <c r="B49" s="52" t="s">
        <v>225</v>
      </c>
      <c r="C49" s="68">
        <f>0*('2022 IR Data Book'!$A$5)</f>
        <v>0</v>
      </c>
      <c r="D49" s="68">
        <f>0*('2022 IR Data Book'!$A$5)</f>
        <v>0</v>
      </c>
      <c r="E49" s="68">
        <f>0*('2022 IR Data Book'!$A$5)</f>
        <v>0</v>
      </c>
      <c r="F49" s="68">
        <f>567*('2022 IR Data Book'!$A$5)</f>
        <v>567</v>
      </c>
      <c r="G49" s="68">
        <f>0*('2022 IR Data Book'!$A$5)</f>
        <v>0</v>
      </c>
      <c r="H49" s="68">
        <f>0*('2022 IR Data Book'!$A$5)</f>
        <v>0</v>
      </c>
    </row>
    <row r="50" spans="2:8" ht="15" x14ac:dyDescent="0.2">
      <c r="B50" s="51" t="s">
        <v>226</v>
      </c>
      <c r="C50" s="57">
        <f t="shared" ref="C50:H50" si="4">SUM(C37:C49)</f>
        <v>-28235</v>
      </c>
      <c r="D50" s="57">
        <f t="shared" si="4"/>
        <v>127715</v>
      </c>
      <c r="E50" s="57">
        <f t="shared" si="4"/>
        <v>90133</v>
      </c>
      <c r="F50" s="57">
        <f t="shared" si="4"/>
        <v>367038</v>
      </c>
      <c r="G50" s="57">
        <f t="shared" si="4"/>
        <v>-12028</v>
      </c>
      <c r="H50" s="57">
        <f t="shared" si="4"/>
        <v>24074</v>
      </c>
    </row>
    <row r="51" spans="2:8" x14ac:dyDescent="0.2">
      <c r="C51" s="68"/>
      <c r="D51" s="68"/>
      <c r="E51" s="68"/>
      <c r="F51" s="68"/>
      <c r="G51" s="68"/>
      <c r="H51" s="68"/>
    </row>
    <row r="52" spans="2:8" x14ac:dyDescent="0.2">
      <c r="B52" s="54"/>
      <c r="C52" s="59"/>
      <c r="D52" s="59"/>
      <c r="E52" s="59"/>
      <c r="F52" s="59"/>
      <c r="G52" s="59"/>
      <c r="H52" s="59"/>
    </row>
    <row r="53" spans="2:8" x14ac:dyDescent="0.2">
      <c r="B53" s="48" t="s">
        <v>227</v>
      </c>
      <c r="C53" s="59"/>
      <c r="D53" s="59"/>
      <c r="E53" s="59"/>
      <c r="F53" s="59"/>
      <c r="G53" s="59"/>
      <c r="H53" s="59"/>
    </row>
    <row r="54" spans="2:8" x14ac:dyDescent="0.2">
      <c r="B54" s="54" t="s">
        <v>228</v>
      </c>
      <c r="C54" s="59">
        <f>-17726*('2022 IR Data Book'!$A$5)</f>
        <v>-17726</v>
      </c>
      <c r="D54" s="59">
        <f>-32563*('2022 IR Data Book'!$A$5)</f>
        <v>-32563</v>
      </c>
      <c r="E54" s="59">
        <f>-46408*('2022 IR Data Book'!$A$5)</f>
        <v>-46408</v>
      </c>
      <c r="F54" s="59">
        <f>-60218*('2022 IR Data Book'!$A$5)</f>
        <v>-60218</v>
      </c>
      <c r="G54" s="59">
        <f>-12262*('2022 IR Data Book'!$A$5)</f>
        <v>-12262</v>
      </c>
      <c r="H54" s="59">
        <f>-27657*('2022 IR Data Book'!$A$5)</f>
        <v>-27657</v>
      </c>
    </row>
    <row r="55" spans="2:8" x14ac:dyDescent="0.2">
      <c r="B55" s="54" t="s">
        <v>229</v>
      </c>
      <c r="C55" s="59">
        <f>2166*('2022 IR Data Book'!$A$5)</f>
        <v>2166</v>
      </c>
      <c r="D55" s="59">
        <f>2137*('2022 IR Data Book'!$A$5)</f>
        <v>2137</v>
      </c>
      <c r="E55" s="59">
        <f>3043*('2022 IR Data Book'!$A$5)</f>
        <v>3043</v>
      </c>
      <c r="F55" s="59">
        <f>4044*('2022 IR Data Book'!$A$5)</f>
        <v>4044</v>
      </c>
      <c r="G55" s="59">
        <f>1601*('2022 IR Data Book'!$A$5)</f>
        <v>1601</v>
      </c>
      <c r="H55" s="59">
        <f>6110*('2022 IR Data Book'!$A$5)</f>
        <v>6110</v>
      </c>
    </row>
    <row r="56" spans="2:8" x14ac:dyDescent="0.2">
      <c r="B56" s="54" t="s">
        <v>230</v>
      </c>
      <c r="C56" s="59">
        <f>-160225*('2022 IR Data Book'!$A$5)</f>
        <v>-160225</v>
      </c>
      <c r="D56" s="59">
        <f>-169019*('2022 IR Data Book'!$A$5)</f>
        <v>-169019</v>
      </c>
      <c r="E56" s="59">
        <f>-286405*('2022 IR Data Book'!$A$5)</f>
        <v>-286405</v>
      </c>
      <c r="F56" s="59">
        <f>-544203*('2022 IR Data Book'!$A$5)</f>
        <v>-544203</v>
      </c>
      <c r="G56" s="59">
        <f>-2804*('2022 IR Data Book'!$A$5)</f>
        <v>-2804</v>
      </c>
      <c r="H56" s="59">
        <f>-6930*('2022 IR Data Book'!$A$5)</f>
        <v>-6930</v>
      </c>
    </row>
    <row r="57" spans="2:8" x14ac:dyDescent="0.2">
      <c r="B57" s="55" t="s">
        <v>231</v>
      </c>
      <c r="C57" s="59">
        <f>-80409*('2022 IR Data Book'!$A$5)</f>
        <v>-80409</v>
      </c>
      <c r="D57" s="59">
        <f>-137113*('2022 IR Data Book'!$A$5)</f>
        <v>-137113</v>
      </c>
      <c r="E57" s="59">
        <f>-188375*('2022 IR Data Book'!$A$5)</f>
        <v>-188375</v>
      </c>
      <c r="F57" s="59">
        <f>-267254*('2022 IR Data Book'!$A$5)</f>
        <v>-267254</v>
      </c>
      <c r="G57" s="59">
        <f>-82244*('2022 IR Data Book'!$A$5)</f>
        <v>-82244</v>
      </c>
      <c r="H57" s="59">
        <f>-146413*('2022 IR Data Book'!$A$5)</f>
        <v>-146413</v>
      </c>
    </row>
    <row r="58" spans="2:8" x14ac:dyDescent="0.2">
      <c r="B58" s="54" t="s">
        <v>232</v>
      </c>
      <c r="C58" s="59">
        <f>-1202*('2022 IR Data Book'!$A$5)</f>
        <v>-1202</v>
      </c>
      <c r="D58" s="59">
        <f>-2395*('2022 IR Data Book'!$A$5)</f>
        <v>-2395</v>
      </c>
      <c r="E58" s="59">
        <f>-2389*('2022 IR Data Book'!$A$5)</f>
        <v>-2389</v>
      </c>
      <c r="F58" s="59">
        <f>-2654*('2022 IR Data Book'!$A$5)</f>
        <v>-2654</v>
      </c>
      <c r="G58" s="59">
        <f>-449*('2022 IR Data Book'!$A$5)</f>
        <v>-449</v>
      </c>
      <c r="H58" s="59">
        <f>-740*('2022 IR Data Book'!$A$5)</f>
        <v>-740</v>
      </c>
    </row>
    <row r="59" spans="2:8" x14ac:dyDescent="0.2">
      <c r="B59" s="56" t="s">
        <v>233</v>
      </c>
      <c r="C59" s="59">
        <f>0*('2022 IR Data Book'!$A$5)</f>
        <v>0</v>
      </c>
      <c r="D59" s="59">
        <f>0*('2022 IR Data Book'!$A$5)</f>
        <v>0</v>
      </c>
      <c r="E59" s="59">
        <f>0*('2022 IR Data Book'!$A$5)</f>
        <v>0</v>
      </c>
      <c r="F59" s="59">
        <f>0*('2022 IR Data Book'!$A$5)</f>
        <v>0</v>
      </c>
      <c r="G59" s="59">
        <f>0*('2022 IR Data Book'!$A$5)</f>
        <v>0</v>
      </c>
      <c r="H59" s="59">
        <f>0*('2022 IR Data Book'!$A$5)</f>
        <v>0</v>
      </c>
    </row>
    <row r="60" spans="2:8" x14ac:dyDescent="0.2">
      <c r="B60" s="56" t="s">
        <v>234</v>
      </c>
      <c r="C60" s="59">
        <f>0*('2022 IR Data Book'!$A$5)</f>
        <v>0</v>
      </c>
      <c r="D60" s="59">
        <f>-190333*('2022 IR Data Book'!$A$5)</f>
        <v>-190333</v>
      </c>
      <c r="E60" s="59">
        <f>-190333*('2022 IR Data Book'!$A$5)</f>
        <v>-190333</v>
      </c>
      <c r="F60" s="59">
        <f>(E60)*('2022 IR Data Book'!$A$5)</f>
        <v>-190333</v>
      </c>
      <c r="G60" s="59">
        <f>0*('2022 IR Data Book'!$A$5)</f>
        <v>0</v>
      </c>
      <c r="H60" s="59">
        <f>-190333*('2022 IR Data Book'!$A$5)</f>
        <v>-190333</v>
      </c>
    </row>
    <row r="61" spans="2:8" ht="15" x14ac:dyDescent="0.25">
      <c r="B61" s="51" t="s">
        <v>235</v>
      </c>
      <c r="C61" s="58">
        <f t="shared" ref="C61:H61" si="5">SUM(C54:C60)</f>
        <v>-257396</v>
      </c>
      <c r="D61" s="58">
        <f t="shared" si="5"/>
        <v>-529286</v>
      </c>
      <c r="E61" s="58">
        <f t="shared" si="5"/>
        <v>-710867</v>
      </c>
      <c r="F61" s="58">
        <f t="shared" si="5"/>
        <v>-1060618</v>
      </c>
      <c r="G61" s="58">
        <f t="shared" si="5"/>
        <v>-96158</v>
      </c>
      <c r="H61" s="58">
        <f t="shared" si="5"/>
        <v>-365963</v>
      </c>
    </row>
    <row r="62" spans="2:8" x14ac:dyDescent="0.2">
      <c r="C62" s="64"/>
      <c r="D62" s="64"/>
      <c r="E62" s="64"/>
      <c r="F62" s="64"/>
      <c r="G62" s="64"/>
      <c r="H62" s="64"/>
    </row>
    <row r="63" spans="2:8" ht="15" x14ac:dyDescent="0.2">
      <c r="B63" s="51" t="s">
        <v>236</v>
      </c>
      <c r="C63" s="71">
        <f t="shared" ref="C63:H63" si="6">C34+C50+C61</f>
        <v>-274468</v>
      </c>
      <c r="D63" s="71">
        <f t="shared" si="6"/>
        <v>-239461</v>
      </c>
      <c r="E63" s="71">
        <f t="shared" si="6"/>
        <v>-316403</v>
      </c>
      <c r="F63" s="71">
        <f t="shared" si="6"/>
        <v>-376231</v>
      </c>
      <c r="G63" s="71">
        <f t="shared" si="6"/>
        <v>6273.1342629662831</v>
      </c>
      <c r="H63" s="71">
        <f t="shared" si="6"/>
        <v>-99623</v>
      </c>
    </row>
    <row r="64" spans="2:8" x14ac:dyDescent="0.2">
      <c r="C64" s="65"/>
      <c r="D64" s="65"/>
      <c r="E64" s="65"/>
      <c r="F64" s="65"/>
      <c r="G64" s="65"/>
      <c r="H64" s="65"/>
    </row>
    <row r="65" spans="2:8" x14ac:dyDescent="0.2">
      <c r="B65" s="54" t="s">
        <v>237</v>
      </c>
      <c r="C65" s="68">
        <f>-8408*('2022 IR Data Book'!$A$5)</f>
        <v>-8408</v>
      </c>
      <c r="D65" s="68">
        <f>-10649*('2022 IR Data Book'!$A$5)</f>
        <v>-10649</v>
      </c>
      <c r="E65" s="68">
        <f>-7038*('2022 IR Data Book'!$A$5)</f>
        <v>-7038</v>
      </c>
      <c r="F65" s="68">
        <f>27490*('2022 IR Data Book'!$A$5)</f>
        <v>27490</v>
      </c>
      <c r="G65" s="68">
        <f>-16761*('2022 IR Data Book'!$A$5)</f>
        <v>-16761</v>
      </c>
      <c r="H65" s="68">
        <f>-14043*('2022 IR Data Book'!$A$5)</f>
        <v>-14043</v>
      </c>
    </row>
    <row r="66" spans="2:8" x14ac:dyDescent="0.2">
      <c r="B66" s="54" t="s">
        <v>238</v>
      </c>
      <c r="C66" s="69">
        <f>907428*('2022 IR Data Book'!$A$5)</f>
        <v>907428</v>
      </c>
      <c r="D66" s="69">
        <f>907428*('2022 IR Data Book'!$A$5)</f>
        <v>907428</v>
      </c>
      <c r="E66" s="69">
        <f>955649*('2022 IR Data Book'!$A$5)</f>
        <v>955649</v>
      </c>
      <c r="F66" s="69">
        <f>907428*('2022 IR Data Book'!$A$5)</f>
        <v>907428</v>
      </c>
      <c r="G66" s="69">
        <f>558687*('2022 IR Data Book'!$A$5)</f>
        <v>558687</v>
      </c>
      <c r="H66" s="69">
        <f>558687*('2022 IR Data Book'!$A$5)</f>
        <v>558687</v>
      </c>
    </row>
    <row r="67" spans="2:8" ht="15" x14ac:dyDescent="0.2">
      <c r="B67" s="51" t="s">
        <v>239</v>
      </c>
      <c r="C67" s="57">
        <f t="shared" ref="C67:H67" si="7">C63+C65+C66</f>
        <v>624552</v>
      </c>
      <c r="D67" s="57">
        <f t="shared" si="7"/>
        <v>657318</v>
      </c>
      <c r="E67" s="57">
        <f t="shared" si="7"/>
        <v>632208</v>
      </c>
      <c r="F67" s="57">
        <f t="shared" si="7"/>
        <v>558687</v>
      </c>
      <c r="G67" s="57">
        <f t="shared" si="7"/>
        <v>548199.13426296622</v>
      </c>
      <c r="H67" s="57">
        <f t="shared" si="7"/>
        <v>445021</v>
      </c>
    </row>
    <row r="68" spans="2:8" x14ac:dyDescent="0.2">
      <c r="C68" s="72"/>
      <c r="D68" s="72"/>
      <c r="E68" s="72"/>
      <c r="F68" s="72"/>
      <c r="G68" s="72"/>
      <c r="H68" s="66"/>
    </row>
    <row r="69" spans="2:8" x14ac:dyDescent="0.2">
      <c r="C69" s="72"/>
      <c r="D69" s="72"/>
      <c r="E69" s="72"/>
      <c r="F69" s="72"/>
      <c r="G69" s="72"/>
      <c r="H69" s="66"/>
    </row>
    <row r="70" spans="2:8" x14ac:dyDescent="0.2">
      <c r="C70" s="143" t="s">
        <v>287</v>
      </c>
      <c r="D70" s="141" t="s">
        <v>288</v>
      </c>
      <c r="E70" s="143" t="s">
        <v>289</v>
      </c>
      <c r="F70" s="143" t="s">
        <v>290</v>
      </c>
      <c r="G70" s="143" t="s">
        <v>291</v>
      </c>
      <c r="H70" s="141" t="s">
        <v>292</v>
      </c>
    </row>
    <row r="71" spans="2:8" x14ac:dyDescent="0.2">
      <c r="B71" s="240" t="s">
        <v>76</v>
      </c>
      <c r="C71" s="237">
        <f>'Group Profit &amp; Loss Stm'!C8</f>
        <v>1424933</v>
      </c>
      <c r="D71" s="237">
        <f>'Group Profit &amp; Loss Stm'!D8+'Group Profit &amp; Loss Stm'!C8</f>
        <v>2995856</v>
      </c>
      <c r="E71" s="237">
        <f>'Group Profit &amp; Loss Stm'!E8+'Group Profit &amp; Loss Stm'!D8+'Group Profit &amp; Loss Stm'!C8+1</f>
        <v>4457261</v>
      </c>
      <c r="F71" s="237">
        <f>'Group Profit &amp; Loss Stm'!G8</f>
        <v>6068805</v>
      </c>
      <c r="G71" s="237">
        <f>'Group Profit &amp; Loss Stm'!H8</f>
        <v>1448931.8290969201</v>
      </c>
      <c r="H71" s="237">
        <f>'Group Profit &amp; Loss Stm'!I8+'Group Profit &amp; Loss Stm'!H8</f>
        <v>2965520.5801713904</v>
      </c>
    </row>
    <row r="72" spans="2:8" s="84" customFormat="1" x14ac:dyDescent="0.2">
      <c r="B72" s="240" t="s">
        <v>244</v>
      </c>
      <c r="C72" s="235">
        <f t="shared" ref="C72:H72" si="8">-C37</f>
        <v>34074</v>
      </c>
      <c r="D72" s="235">
        <f t="shared" si="8"/>
        <v>63319</v>
      </c>
      <c r="E72" s="235">
        <f t="shared" si="8"/>
        <v>99376</v>
      </c>
      <c r="F72" s="235">
        <f t="shared" si="8"/>
        <v>128597</v>
      </c>
      <c r="G72" s="235">
        <f t="shared" si="8"/>
        <v>15766</v>
      </c>
      <c r="H72" s="235">
        <f t="shared" si="8"/>
        <v>39025</v>
      </c>
    </row>
    <row r="73" spans="2:8" s="84" customFormat="1" x14ac:dyDescent="0.2">
      <c r="B73" s="240" t="s">
        <v>96</v>
      </c>
      <c r="C73" s="236">
        <f t="shared" ref="C73:H73" si="9">C72/C71</f>
        <v>2.3912703263942937E-2</v>
      </c>
      <c r="D73" s="236">
        <f t="shared" si="9"/>
        <v>2.1135528543427987E-2</v>
      </c>
      <c r="E73" s="236">
        <f t="shared" si="9"/>
        <v>2.2295306467357421E-2</v>
      </c>
      <c r="F73" s="236">
        <f t="shared" si="9"/>
        <v>2.1189838856249296E-2</v>
      </c>
      <c r="G73" s="236">
        <f t="shared" si="9"/>
        <v>1.088111923790543E-2</v>
      </c>
      <c r="H73" s="236">
        <f t="shared" si="9"/>
        <v>1.3159578207258495E-2</v>
      </c>
    </row>
    <row r="74" spans="2:8" x14ac:dyDescent="0.2">
      <c r="B74" s="74"/>
    </row>
  </sheetData>
  <pageMargins left="0.7" right="0.7" top="0.75" bottom="0.75" header="0.3" footer="0.3"/>
  <pageSetup orientation="portrait" horizontalDpi="1200" verticalDpi="1200" r:id="rId1"/>
  <ignoredErrors>
    <ignoredError sqref="E66 C45:H45 C17:F20 F49 C48:F48 C47:F47 C46:F46 C44:H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913515-43FA-4F38-9C20-53D5790F179B}">
  <dimension ref="A1:P39"/>
  <sheetViews>
    <sheetView showGridLines="0" workbookViewId="0">
      <pane xSplit="2" ySplit="5" topLeftCell="C6" activePane="bottomRight" state="frozen"/>
      <selection activeCell="P28" sqref="P28"/>
      <selection pane="topRight" activeCell="P28" sqref="P28"/>
      <selection pane="bottomLeft" activeCell="P28" sqref="P28"/>
      <selection pane="bottomRight" activeCell="K32" sqref="K32"/>
    </sheetView>
  </sheetViews>
  <sheetFormatPr defaultRowHeight="12.75" x14ac:dyDescent="0.2"/>
  <cols>
    <col min="1" max="1" width="6.28515625" style="21" customWidth="1"/>
    <col min="2" max="2" width="35.85546875" style="21" customWidth="1"/>
    <col min="3" max="3" width="14.7109375" style="21" customWidth="1"/>
    <col min="4" max="4" width="14.140625" style="21" customWidth="1"/>
    <col min="5" max="5" width="14" style="21" customWidth="1"/>
    <col min="6" max="6" width="14.140625" style="21" customWidth="1"/>
    <col min="7" max="7" width="13.85546875" style="21" customWidth="1"/>
    <col min="8" max="8" width="12.7109375" style="21" bestFit="1" customWidth="1"/>
    <col min="9" max="9" width="13.140625" style="21" customWidth="1"/>
    <col min="10" max="10" width="9.140625" style="21"/>
    <col min="11" max="11" width="10.85546875" style="21" customWidth="1"/>
    <col min="12" max="16384" width="9.140625" style="21"/>
  </cols>
  <sheetData>
    <row r="1" spans="1:16" x14ac:dyDescent="0.2">
      <c r="A1" s="189">
        <f>'2022 IR Data Book'!$A$5</f>
        <v>1</v>
      </c>
    </row>
    <row r="2" spans="1:16" x14ac:dyDescent="0.2">
      <c r="A2" s="189"/>
    </row>
    <row r="3" spans="1:16" ht="15" x14ac:dyDescent="0.25">
      <c r="B3" s="73"/>
      <c r="P3" s="74"/>
    </row>
    <row r="4" spans="1:16" ht="14.25" customHeight="1" x14ac:dyDescent="0.2">
      <c r="B4" s="75" t="s">
        <v>74</v>
      </c>
      <c r="C4" s="75"/>
      <c r="D4" s="76"/>
      <c r="E4" s="75"/>
      <c r="F4" s="75"/>
      <c r="G4" s="75"/>
      <c r="H4" s="76"/>
      <c r="I4" s="202" t="s">
        <v>75</v>
      </c>
      <c r="J4" s="202"/>
      <c r="K4" s="202" t="s">
        <v>75</v>
      </c>
      <c r="L4" s="202"/>
    </row>
    <row r="5" spans="1:16" x14ac:dyDescent="0.2">
      <c r="B5" s="77"/>
      <c r="C5" s="230" t="s">
        <v>44</v>
      </c>
      <c r="D5" s="230" t="s">
        <v>45</v>
      </c>
      <c r="E5" s="230" t="s">
        <v>47</v>
      </c>
      <c r="F5" s="230" t="s">
        <v>49</v>
      </c>
      <c r="G5" s="230" t="s">
        <v>84</v>
      </c>
      <c r="H5" s="230" t="s">
        <v>85</v>
      </c>
      <c r="I5" s="78" t="s">
        <v>86</v>
      </c>
      <c r="J5" s="78" t="s">
        <v>57</v>
      </c>
      <c r="K5" s="78" t="s">
        <v>95</v>
      </c>
      <c r="L5" s="78" t="s">
        <v>57</v>
      </c>
    </row>
    <row r="6" spans="1:16" x14ac:dyDescent="0.2">
      <c r="B6" s="79"/>
      <c r="C6" s="79"/>
      <c r="D6" s="80"/>
      <c r="E6" s="79"/>
      <c r="F6" s="79"/>
      <c r="G6" s="79"/>
      <c r="H6" s="80"/>
      <c r="I6" s="80"/>
      <c r="J6" s="80"/>
    </row>
    <row r="7" spans="1:16" ht="15" x14ac:dyDescent="0.25">
      <c r="B7" s="208" t="s">
        <v>76</v>
      </c>
      <c r="C7" s="212">
        <f>1002142.34808517*('2022 IR Data Book'!$A$5)</f>
        <v>1002142.34808517</v>
      </c>
      <c r="D7" s="212">
        <f>1100781.67756688*('2022 IR Data Book'!$A$5)</f>
        <v>1100781.6775668799</v>
      </c>
      <c r="E7" s="212">
        <f>997394.711823594*('2022 IR Data Book'!$A$5)</f>
        <v>997394.71182359406</v>
      </c>
      <c r="F7" s="212">
        <f>1043644.04944887*('2022 IR Data Book'!$A$5)</f>
        <v>1043644.04944887</v>
      </c>
      <c r="G7" s="212">
        <f>911091.918675055*('2022 IR Data Book'!$A$5)</f>
        <v>911091.91867505503</v>
      </c>
      <c r="H7" s="212">
        <f>936163.101694755*('2022 IR Data Book'!$A$5)</f>
        <v>936163.10169475502</v>
      </c>
      <c r="I7" s="213">
        <f>(H7-D7)</f>
        <v>-164618.57587212487</v>
      </c>
      <c r="J7" s="214">
        <f>I7/D7</f>
        <v>-0.14954698032037619</v>
      </c>
      <c r="K7" s="213">
        <f>(H7+G7)-(D7+C7)</f>
        <v>-255669.00528223999</v>
      </c>
      <c r="L7" s="214">
        <f>K7/(D7+C7)</f>
        <v>-0.1215778611892387</v>
      </c>
    </row>
    <row r="8" spans="1:16" ht="15" x14ac:dyDescent="0.25">
      <c r="B8" s="209" t="s">
        <v>77</v>
      </c>
      <c r="C8" s="215">
        <f>717028.001907232*('2022 IR Data Book'!$A$5)</f>
        <v>717028.00190723198</v>
      </c>
      <c r="D8" s="215">
        <f>775480.325927456*('2022 IR Data Book'!$A$5)</f>
        <v>775480.32592745603</v>
      </c>
      <c r="E8" s="215">
        <f>717317.573271734*('2022 IR Data Book'!$A$5)</f>
        <v>717317.57327173406</v>
      </c>
      <c r="F8" s="215">
        <f>786345.25681342*('2022 IR Data Book'!$A$5)</f>
        <v>786345.25681341998</v>
      </c>
      <c r="G8" s="215">
        <f>653884.911303184*('2022 IR Data Book'!$A$5)</f>
        <v>653884.911303184</v>
      </c>
      <c r="H8" s="215">
        <f>669113.309220393*('2022 IR Data Book'!$A$5)</f>
        <v>669113.30922039296</v>
      </c>
      <c r="I8" s="216">
        <f>(H8-D8)</f>
        <v>-106367.01670706307</v>
      </c>
      <c r="J8" s="217">
        <f>I8/D8</f>
        <v>-0.13716275339396991</v>
      </c>
      <c r="K8" s="216">
        <f>(H8+G8)-(D8+C8)</f>
        <v>-169510.10731111118</v>
      </c>
      <c r="L8" s="217">
        <f>K8/(D8+C8)</f>
        <v>-0.1135739775449255</v>
      </c>
    </row>
    <row r="9" spans="1:16" ht="15" x14ac:dyDescent="0.25">
      <c r="B9" s="211" t="s">
        <v>105</v>
      </c>
      <c r="C9" s="215"/>
      <c r="D9" s="215"/>
      <c r="E9" s="215"/>
      <c r="F9" s="215"/>
      <c r="G9" s="215"/>
      <c r="H9" s="215"/>
      <c r="I9" s="215"/>
      <c r="J9" s="217"/>
      <c r="K9" s="215"/>
      <c r="L9" s="217"/>
    </row>
    <row r="10" spans="1:16" ht="15" x14ac:dyDescent="0.25">
      <c r="B10" s="208" t="s">
        <v>41</v>
      </c>
      <c r="C10" s="212">
        <f t="shared" ref="C10:H10" si="0">C7-C8</f>
        <v>285114.34617793805</v>
      </c>
      <c r="D10" s="212">
        <f t="shared" si="0"/>
        <v>325301.35163942387</v>
      </c>
      <c r="E10" s="212">
        <f t="shared" si="0"/>
        <v>280077.13855186</v>
      </c>
      <c r="F10" s="212">
        <f t="shared" si="0"/>
        <v>257298.79263545002</v>
      </c>
      <c r="G10" s="212">
        <f t="shared" si="0"/>
        <v>257207.00737187103</v>
      </c>
      <c r="H10" s="212">
        <f t="shared" si="0"/>
        <v>267049.79247436207</v>
      </c>
      <c r="I10" s="213">
        <f>(H10-D10)</f>
        <v>-58251.559165061801</v>
      </c>
      <c r="J10" s="214">
        <f>I10/D10</f>
        <v>-0.17906952698318326</v>
      </c>
      <c r="K10" s="213">
        <f>(H10+G10)-(D10+C10)</f>
        <v>-86158.897971128812</v>
      </c>
      <c r="L10" s="214">
        <f>K10/(D10+C10)</f>
        <v>-0.14114790671210392</v>
      </c>
    </row>
    <row r="11" spans="1:16" ht="15" x14ac:dyDescent="0.25">
      <c r="B11" s="210" t="s">
        <v>78</v>
      </c>
      <c r="C11" s="218">
        <f t="shared" ref="C11:H11" si="1">C10/C7</f>
        <v>0.28450483778349095</v>
      </c>
      <c r="D11" s="218">
        <f t="shared" si="1"/>
        <v>0.29551850132394636</v>
      </c>
      <c r="E11" s="218">
        <f t="shared" si="1"/>
        <v>0.28080872620607633</v>
      </c>
      <c r="F11" s="218">
        <f t="shared" si="1"/>
        <v>0.2465388393402185</v>
      </c>
      <c r="G11" s="218">
        <f t="shared" si="1"/>
        <v>0.28230632069035511</v>
      </c>
      <c r="H11" s="218">
        <f t="shared" si="1"/>
        <v>0.28525989968085308</v>
      </c>
      <c r="I11" s="218"/>
      <c r="J11" s="218"/>
      <c r="K11" s="218"/>
      <c r="L11" s="218"/>
    </row>
    <row r="12" spans="1:16" ht="15" x14ac:dyDescent="0.25">
      <c r="B12" s="82" t="s">
        <v>79</v>
      </c>
      <c r="C12" s="219">
        <f>223548.286214403*('2022 IR Data Book'!$A$5)</f>
        <v>223548.28621440299</v>
      </c>
      <c r="D12" s="219">
        <f>225862.194456106*('2022 IR Data Book'!$A$5)</f>
        <v>225862.19445610599</v>
      </c>
      <c r="E12" s="219">
        <f>222168.22378857*('2022 IR Data Book'!$A$5)</f>
        <v>222168.22378857</v>
      </c>
      <c r="F12" s="219">
        <f>225542.369791633*('2022 IR Data Book'!$A$5)</f>
        <v>225542.36979163301</v>
      </c>
      <c r="G12" s="219">
        <f>209366.504356654*('2022 IR Data Book'!$A$5)</f>
        <v>209366.50435665401</v>
      </c>
      <c r="H12" s="219">
        <f>223574.750107218*('2022 IR Data Book'!$A$5)</f>
        <v>223574.75010721799</v>
      </c>
      <c r="I12" s="220">
        <f>(H12-D12)</f>
        <v>-2287.4443488880061</v>
      </c>
      <c r="J12" s="217">
        <f>I12/D12</f>
        <v>-1.0127610574210317E-2</v>
      </c>
      <c r="K12" s="220">
        <f>(H12+G12)-(D12+C12)</f>
        <v>-16469.226206636988</v>
      </c>
      <c r="L12" s="217">
        <f>K12/(D12+C12)</f>
        <v>-3.6646288671473175E-2</v>
      </c>
    </row>
    <row r="13" spans="1:16" ht="15" x14ac:dyDescent="0.25">
      <c r="B13" s="83" t="s">
        <v>80</v>
      </c>
      <c r="C13" s="221">
        <f>67793.5305039601*('2022 IR Data Book'!$A$5)</f>
        <v>67793.530503960093</v>
      </c>
      <c r="D13" s="221">
        <f>104626.763731849*('2022 IR Data Book'!$A$5)</f>
        <v>104626.763731849</v>
      </c>
      <c r="E13" s="221">
        <f>53874.7987173948*('2022 IR Data Book'!$A$5)</f>
        <v>53874.798717394799</v>
      </c>
      <c r="F13" s="221">
        <f>40584.3396461287*('2022 IR Data Book'!$A$5)</f>
        <v>40584.339646128697</v>
      </c>
      <c r="G13" s="221">
        <f>52446.6927776414*('2022 IR Data Book'!$A$5)</f>
        <v>52446.692777641401</v>
      </c>
      <c r="H13" s="221">
        <f>40108.639869565*('2022 IR Data Book'!$A$5)</f>
        <v>40108.639869564999</v>
      </c>
      <c r="I13" s="221">
        <f>(H13-D13)</f>
        <v>-64518.123862284003</v>
      </c>
      <c r="J13" s="222">
        <f>I13/D13</f>
        <v>-0.61665028680079781</v>
      </c>
      <c r="K13" s="221">
        <f>(H13+G13)-(D13+C13)</f>
        <v>-79864.961588602688</v>
      </c>
      <c r="L13" s="222">
        <f>K13/(D13+C13)</f>
        <v>-0.46319931155769911</v>
      </c>
    </row>
    <row r="14" spans="1:16" ht="15" x14ac:dyDescent="0.25">
      <c r="B14" s="73" t="s">
        <v>81</v>
      </c>
      <c r="C14" s="218">
        <f t="shared" ref="C14:H14" si="2">C13/C7</f>
        <v>6.7648603647471509E-2</v>
      </c>
      <c r="D14" s="218">
        <f t="shared" si="2"/>
        <v>9.5047697344591953E-2</v>
      </c>
      <c r="E14" s="218">
        <f t="shared" si="2"/>
        <v>5.4015524725303993E-2</v>
      </c>
      <c r="F14" s="218">
        <f t="shared" si="2"/>
        <v>3.8887147076209147E-2</v>
      </c>
      <c r="G14" s="218">
        <f t="shared" si="2"/>
        <v>5.7564655884459387E-2</v>
      </c>
      <c r="H14" s="218">
        <f t="shared" si="2"/>
        <v>4.2843645297443916E-2</v>
      </c>
      <c r="I14" s="218"/>
      <c r="J14" s="218"/>
      <c r="K14" s="218"/>
      <c r="L14" s="218"/>
    </row>
    <row r="15" spans="1:16" ht="15" x14ac:dyDescent="0.25">
      <c r="B15" s="83" t="s">
        <v>82</v>
      </c>
      <c r="C15" s="221">
        <f>126971.790482873*('2022 IR Data Book'!$A$5)</f>
        <v>126971.790482873</v>
      </c>
      <c r="D15" s="221">
        <f>164433.595675243*('2022 IR Data Book'!$A$5)</f>
        <v>164433.59567524301</v>
      </c>
      <c r="E15" s="221">
        <f>115047.863269421*('2022 IR Data Book'!$A$5)</f>
        <v>115047.863269421</v>
      </c>
      <c r="F15" s="221">
        <f>97113.9767199688*('2022 IR Data Book'!$A$5)</f>
        <v>97113.976719968807</v>
      </c>
      <c r="G15" s="221">
        <f>111870.829071796*('2022 IR Data Book'!$A$5)</f>
        <v>111870.829071796</v>
      </c>
      <c r="H15" s="221">
        <f>98398.969368273*('2022 IR Data Book'!$A$5)</f>
        <v>98398.969368272999</v>
      </c>
      <c r="I15" s="221">
        <f>(H15-D15)</f>
        <v>-66034.626306970007</v>
      </c>
      <c r="J15" s="222">
        <f>I15/D15</f>
        <v>-0.40158841042063359</v>
      </c>
      <c r="K15" s="221">
        <f>(H15+G15)-(D15+C15)</f>
        <v>-81135.587718046969</v>
      </c>
      <c r="L15" s="222">
        <f>K15/(D15+C15)</f>
        <v>-0.27842857947046645</v>
      </c>
    </row>
    <row r="16" spans="1:16" ht="15" x14ac:dyDescent="0.25">
      <c r="B16" s="73" t="s">
        <v>83</v>
      </c>
      <c r="C16" s="218">
        <f t="shared" ref="C16:H16" si="3">C15/C7</f>
        <v>0.12670035422161596</v>
      </c>
      <c r="D16" s="218">
        <f t="shared" si="3"/>
        <v>0.14937893592006354</v>
      </c>
      <c r="E16" s="218">
        <f t="shared" si="3"/>
        <v>0.11534837903749497</v>
      </c>
      <c r="F16" s="218">
        <f t="shared" si="3"/>
        <v>9.305277673096779E-2</v>
      </c>
      <c r="G16" s="218">
        <f t="shared" si="3"/>
        <v>0.12278764280390378</v>
      </c>
      <c r="H16" s="218">
        <f t="shared" si="3"/>
        <v>0.10510878840464803</v>
      </c>
      <c r="I16" s="218"/>
      <c r="J16" s="218"/>
      <c r="K16" s="218"/>
      <c r="L16" s="218"/>
    </row>
    <row r="18" spans="2:8" x14ac:dyDescent="0.2">
      <c r="B18" s="206" t="s">
        <v>87</v>
      </c>
      <c r="C18" s="207"/>
      <c r="D18" s="207"/>
      <c r="E18" s="207"/>
      <c r="F18" s="207"/>
      <c r="G18" s="207"/>
      <c r="H18" s="207"/>
    </row>
    <row r="19" spans="2:8" x14ac:dyDescent="0.2">
      <c r="B19" s="81" t="s">
        <v>91</v>
      </c>
      <c r="C19" s="94">
        <v>25388838</v>
      </c>
      <c r="D19" s="94">
        <v>25800486</v>
      </c>
      <c r="E19" s="94">
        <v>27600108</v>
      </c>
      <c r="F19" s="94">
        <v>29436845</v>
      </c>
      <c r="G19" s="94">
        <f>'Historic Courier Rev_Vol_ Data'!J27*1000000</f>
        <v>25008344</v>
      </c>
      <c r="H19" s="29">
        <v>24101160</v>
      </c>
    </row>
    <row r="20" spans="2:8" x14ac:dyDescent="0.2">
      <c r="B20" s="81" t="s">
        <v>92</v>
      </c>
      <c r="C20" s="94">
        <v>6203827</v>
      </c>
      <c r="D20" s="94">
        <v>7200104</v>
      </c>
      <c r="E20" s="94">
        <v>6300214</v>
      </c>
      <c r="F20" s="94">
        <v>6052494</v>
      </c>
      <c r="G20" s="94">
        <f>'Historic Courier Rev_Vol_ Data'!J26*1000000</f>
        <v>5339769</v>
      </c>
      <c r="H20" s="29">
        <v>5930134</v>
      </c>
    </row>
    <row r="21" spans="2:8" ht="13.5" thickBot="1" x14ac:dyDescent="0.25">
      <c r="B21" s="95" t="s">
        <v>283</v>
      </c>
      <c r="C21" s="96">
        <f>SUM(C19:C20)</f>
        <v>31592665</v>
      </c>
      <c r="D21" s="96">
        <f t="shared" ref="D21:H21" si="4">SUM(D19:D20)</f>
        <v>33000590</v>
      </c>
      <c r="E21" s="96">
        <f t="shared" si="4"/>
        <v>33900322</v>
      </c>
      <c r="F21" s="96">
        <f t="shared" si="4"/>
        <v>35489339</v>
      </c>
      <c r="G21" s="96">
        <f t="shared" si="4"/>
        <v>30348113</v>
      </c>
      <c r="H21" s="96">
        <f t="shared" si="4"/>
        <v>30031294</v>
      </c>
    </row>
    <row r="22" spans="2:8" ht="13.5" thickTop="1" x14ac:dyDescent="0.2"/>
    <row r="23" spans="2:8" x14ac:dyDescent="0.2">
      <c r="B23" s="206" t="s">
        <v>88</v>
      </c>
      <c r="C23" s="207"/>
      <c r="D23" s="207"/>
      <c r="E23" s="207"/>
      <c r="F23" s="207"/>
      <c r="G23" s="207"/>
      <c r="H23" s="207"/>
    </row>
    <row r="24" spans="2:8" x14ac:dyDescent="0.2">
      <c r="B24" s="81" t="s">
        <v>93</v>
      </c>
      <c r="C24" s="93">
        <f>('Historic Courier Rev_Vol_ Data'!C22*1000)/C19</f>
        <v>14.006854667604639</v>
      </c>
      <c r="D24" s="93">
        <f>'Historic Courier Rev_Vol_ Data'!D22*1000/'Aramex Courier'!D19</f>
        <v>14.233294849517796</v>
      </c>
      <c r="E24" s="93">
        <f>'Historic Courier Rev_Vol_ Data'!E22*1000/'Aramex Courier'!E19</f>
        <v>14.277900147163628</v>
      </c>
      <c r="F24" s="93">
        <f>'Historic Courier Rev_Vol_ Data'!F22*1000/'Aramex Courier'!F19</f>
        <v>12.645743147326691</v>
      </c>
      <c r="G24" s="93">
        <f>'Historic Courier Rev_Vol_ Data'!C27*1000/'Aramex Courier'!G19</f>
        <v>14.129145260947427</v>
      </c>
      <c r="H24" s="93">
        <f>'Historic Courier Rev_Vol_ Data'!D27*1000/'Aramex Courier'!H19</f>
        <v>14.483628829469744</v>
      </c>
    </row>
    <row r="25" spans="2:8" x14ac:dyDescent="0.2">
      <c r="B25" s="81" t="s">
        <v>94</v>
      </c>
      <c r="C25" s="97">
        <f>'Historic Courier Rev_Vol_ Data'!C21*1000/C20</f>
        <v>104.21379997312479</v>
      </c>
      <c r="D25" s="97">
        <f>'Historic Courier Rev_Vol_ Data'!D21*1000/D20</f>
        <v>101.88124256898971</v>
      </c>
      <c r="E25" s="97">
        <f>'Historic Courier Rev_Vol_ Data'!E21*1000/E20</f>
        <v>95.762321949705822</v>
      </c>
      <c r="F25" s="97">
        <f>'Historic Courier Rev_Vol_ Data'!F21*1000/F20</f>
        <v>110.92830954554603</v>
      </c>
      <c r="G25" s="97">
        <f>'Historic Courier Rev_Vol_ Data'!C26*1000/G20</f>
        <v>104.45122130889257</v>
      </c>
      <c r="H25" s="97">
        <f>'Historic Courier Rev_Vol_ Data'!D26*1000/H20</f>
        <v>99.001278214409297</v>
      </c>
    </row>
    <row r="26" spans="2:8" x14ac:dyDescent="0.2">
      <c r="B26" s="81" t="s">
        <v>248</v>
      </c>
      <c r="C26" s="146">
        <f>C7*1000/C21</f>
        <v>31.720728469256077</v>
      </c>
      <c r="D26" s="146">
        <f t="shared" ref="D26:H26" si="5">D7*1000/D21</f>
        <v>33.356424159897749</v>
      </c>
      <c r="E26" s="146">
        <f t="shared" si="5"/>
        <v>29.421393455306827</v>
      </c>
      <c r="F26" s="146">
        <f t="shared" si="5"/>
        <v>29.407255216809478</v>
      </c>
      <c r="G26" s="146">
        <f t="shared" si="5"/>
        <v>30.021369654022806</v>
      </c>
      <c r="H26" s="146">
        <f t="shared" si="5"/>
        <v>31.172919212031125</v>
      </c>
    </row>
    <row r="27" spans="2:8" x14ac:dyDescent="0.2">
      <c r="B27" s="81" t="s">
        <v>249</v>
      </c>
      <c r="C27" s="146">
        <f t="shared" ref="C27:H27" si="6">C8*1000/C21</f>
        <v>22.696027761736211</v>
      </c>
      <c r="D27" s="146">
        <f t="shared" si="6"/>
        <v>23.498983682638887</v>
      </c>
      <c r="E27" s="146">
        <f t="shared" si="6"/>
        <v>21.159609435914327</v>
      </c>
      <c r="F27" s="146">
        <f t="shared" si="6"/>
        <v>22.15722464747568</v>
      </c>
      <c r="G27" s="146">
        <f t="shared" si="6"/>
        <v>21.54614724491055</v>
      </c>
      <c r="H27" s="146">
        <f t="shared" si="6"/>
        <v>22.280535404847789</v>
      </c>
    </row>
    <row r="28" spans="2:8" x14ac:dyDescent="0.2">
      <c r="B28" s="60"/>
    </row>
    <row r="29" spans="2:8" x14ac:dyDescent="0.2">
      <c r="B29" s="60"/>
    </row>
    <row r="30" spans="2:8" x14ac:dyDescent="0.2">
      <c r="B30" s="206" t="s">
        <v>285</v>
      </c>
      <c r="C30" s="207"/>
      <c r="D30" s="207"/>
      <c r="E30" s="207"/>
      <c r="F30" s="207"/>
      <c r="G30" s="207"/>
      <c r="H30" s="207"/>
    </row>
    <row r="31" spans="2:8" x14ac:dyDescent="0.2">
      <c r="B31" s="21" t="s">
        <v>51</v>
      </c>
      <c r="C31" s="34">
        <v>0.152577200423126</v>
      </c>
      <c r="D31" s="34">
        <v>2.3966531609071615E-2</v>
      </c>
      <c r="E31" s="34">
        <v>0.21096712348209742</v>
      </c>
      <c r="F31" s="238">
        <v>-0.50603457358194681</v>
      </c>
      <c r="G31" s="34">
        <v>-0.12997761366469657</v>
      </c>
      <c r="H31" s="34">
        <v>-0.1456710357954924</v>
      </c>
    </row>
    <row r="32" spans="2:8" x14ac:dyDescent="0.2">
      <c r="B32" s="21" t="s">
        <v>65</v>
      </c>
      <c r="C32" s="34">
        <v>0.16158408014524933</v>
      </c>
      <c r="D32" s="34">
        <v>3.2094787197151142E-2</v>
      </c>
      <c r="E32" s="34">
        <v>-0.15124483145956866</v>
      </c>
      <c r="F32" s="34">
        <v>-0.1163290891270501</v>
      </c>
      <c r="G32" s="34">
        <v>-7.5593740614141286E-2</v>
      </c>
      <c r="H32" s="34">
        <v>-8.1699048165860697E-2</v>
      </c>
    </row>
    <row r="33" spans="2:8" x14ac:dyDescent="0.2">
      <c r="B33" s="21" t="s">
        <v>66</v>
      </c>
      <c r="C33" s="34">
        <v>0.16374774498274133</v>
      </c>
      <c r="D33" s="34">
        <v>8.8619476419337304E-2</v>
      </c>
      <c r="E33" s="34">
        <v>0.16507554945222619</v>
      </c>
      <c r="F33" s="34">
        <v>0.13430445446069067</v>
      </c>
      <c r="G33" s="34">
        <v>6.5297082802415585E-2</v>
      </c>
      <c r="H33" s="34">
        <v>2.8836174413781345E-2</v>
      </c>
    </row>
    <row r="34" spans="2:8" x14ac:dyDescent="0.2">
      <c r="B34" s="21" t="s">
        <v>67</v>
      </c>
      <c r="C34" s="34">
        <v>0.28624402381722924</v>
      </c>
      <c r="D34" s="34">
        <v>0.16274856711487709</v>
      </c>
      <c r="E34" s="34">
        <v>0.12714927969689371</v>
      </c>
      <c r="F34" s="34">
        <v>-0.11543776023608787</v>
      </c>
      <c r="G34" s="34">
        <v>-7.3772643839348419E-3</v>
      </c>
      <c r="H34" s="34">
        <v>-7.6077816423226099E-2</v>
      </c>
    </row>
    <row r="35" spans="2:8" x14ac:dyDescent="0.2">
      <c r="B35" s="21" t="s">
        <v>68</v>
      </c>
      <c r="C35" s="34">
        <v>0.36178773180236151</v>
      </c>
      <c r="D35" s="34">
        <v>1.6527207347291007E-2</v>
      </c>
      <c r="E35" s="34">
        <v>0.26142739642494806</v>
      </c>
      <c r="F35" s="34">
        <v>-0.18684036638263388</v>
      </c>
      <c r="G35" s="34">
        <v>-4.6698353893166594E-2</v>
      </c>
      <c r="H35" s="34">
        <v>-9.0884272368164862E-2</v>
      </c>
    </row>
    <row r="36" spans="2:8" x14ac:dyDescent="0.2">
      <c r="B36" s="21" t="s">
        <v>253</v>
      </c>
      <c r="C36" s="34">
        <v>1.0015122380826256</v>
      </c>
      <c r="D36" s="34">
        <v>0.29352168107370491</v>
      </c>
      <c r="E36" s="34">
        <v>-0.51663572591501106</v>
      </c>
      <c r="F36" s="34">
        <v>-0.25419201998019175</v>
      </c>
      <c r="G36" s="34">
        <v>-0.40179264114617658</v>
      </c>
      <c r="H36" s="34">
        <v>-0.51001192897108483</v>
      </c>
    </row>
    <row r="37" spans="2:8" x14ac:dyDescent="0.2">
      <c r="B37" s="21" t="s">
        <v>254</v>
      </c>
      <c r="C37" s="34">
        <v>0.427535393231879</v>
      </c>
      <c r="D37" s="34">
        <v>0.22452562450827826</v>
      </c>
      <c r="E37" s="34">
        <v>0.41919070543744852</v>
      </c>
      <c r="F37" s="34">
        <v>0.3053890781046103</v>
      </c>
      <c r="G37" s="34">
        <v>0.15045738528325428</v>
      </c>
      <c r="H37" s="34">
        <v>1.2535148527381784E-2</v>
      </c>
    </row>
    <row r="38" spans="2:8" x14ac:dyDescent="0.2">
      <c r="B38" s="21" t="s">
        <v>71</v>
      </c>
      <c r="C38" s="34">
        <v>0.49694613394817494</v>
      </c>
      <c r="D38" s="34">
        <v>4.448801728516965E-2</v>
      </c>
      <c r="E38" s="34">
        <v>0.14984918003178546</v>
      </c>
      <c r="F38" s="34">
        <v>5.7741477565912531E-2</v>
      </c>
      <c r="G38" s="34">
        <v>-6.3108185801803843E-2</v>
      </c>
      <c r="H38" s="34">
        <v>-0.14357714617071346</v>
      </c>
    </row>
    <row r="39" spans="2:8" x14ac:dyDescent="0.2">
      <c r="B39" s="84" t="s">
        <v>72</v>
      </c>
      <c r="C39" s="238">
        <v>-0.42569638975490903</v>
      </c>
      <c r="D39" s="238">
        <v>-0.18110337605619209</v>
      </c>
      <c r="E39" s="238">
        <v>-0.36055243932535619</v>
      </c>
      <c r="F39" s="238">
        <v>-0.23737727478744172</v>
      </c>
      <c r="G39" s="238">
        <v>-0.27867079054313448</v>
      </c>
      <c r="H39" s="238">
        <v>-0.10849668890005662</v>
      </c>
    </row>
  </sheetData>
  <pageMargins left="0.7" right="0.7" top="0.75" bottom="0.75" header="0.3" footer="0.3"/>
  <pageSetup orientation="portrait"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87F27E-55D1-46E1-99AC-32222F2C0F51}">
  <dimension ref="A2:P26"/>
  <sheetViews>
    <sheetView showGridLines="0" workbookViewId="0">
      <pane xSplit="2" ySplit="6" topLeftCell="C7" activePane="bottomRight" state="frozen"/>
      <selection activeCell="P28" sqref="P28"/>
      <selection pane="topRight" activeCell="P28" sqref="P28"/>
      <selection pane="bottomLeft" activeCell="P28" sqref="P28"/>
      <selection pane="bottomRight" activeCell="K30" sqref="K30"/>
    </sheetView>
  </sheetViews>
  <sheetFormatPr defaultRowHeight="15" x14ac:dyDescent="0.25"/>
  <cols>
    <col min="1" max="1" width="9.140625" style="21"/>
    <col min="2" max="2" width="25.5703125" style="73" bestFit="1" customWidth="1"/>
    <col min="3" max="3" width="13.28515625" style="21" bestFit="1" customWidth="1"/>
    <col min="4" max="5" width="12.7109375" style="21" customWidth="1"/>
    <col min="6" max="6" width="13.7109375" style="21" customWidth="1"/>
    <col min="7" max="7" width="12.7109375" style="21" customWidth="1"/>
    <col min="8" max="8" width="12.7109375" style="21" bestFit="1" customWidth="1"/>
    <col min="9" max="9" width="12.85546875" style="21" bestFit="1" customWidth="1"/>
    <col min="10" max="16384" width="9.140625" style="21"/>
  </cols>
  <sheetData>
    <row r="2" spans="1:16" x14ac:dyDescent="0.25">
      <c r="A2" s="189">
        <f>'2022 IR Data Book'!$A$5</f>
        <v>1</v>
      </c>
    </row>
    <row r="3" spans="1:16" x14ac:dyDescent="0.25">
      <c r="A3" s="189"/>
    </row>
    <row r="4" spans="1:16" ht="12.75" x14ac:dyDescent="0.2">
      <c r="B4" s="75" t="s">
        <v>74</v>
      </c>
      <c r="C4" s="75"/>
      <c r="D4" s="76"/>
      <c r="E4" s="75"/>
      <c r="F4" s="75"/>
      <c r="G4" s="75"/>
      <c r="H4" s="76"/>
      <c r="I4" s="244" t="s">
        <v>75</v>
      </c>
      <c r="J4" s="244"/>
      <c r="K4" s="244" t="s">
        <v>75</v>
      </c>
      <c r="L4" s="244"/>
      <c r="P4" s="74"/>
    </row>
    <row r="5" spans="1:16" ht="12.75" x14ac:dyDescent="0.2">
      <c r="B5" s="148"/>
      <c r="C5" s="78" t="s">
        <v>44</v>
      </c>
      <c r="D5" s="78" t="s">
        <v>45</v>
      </c>
      <c r="E5" s="78" t="s">
        <v>47</v>
      </c>
      <c r="F5" s="78" t="s">
        <v>49</v>
      </c>
      <c r="G5" s="78" t="s">
        <v>84</v>
      </c>
      <c r="H5" s="78" t="s">
        <v>85</v>
      </c>
      <c r="I5" s="78" t="s">
        <v>86</v>
      </c>
      <c r="J5" s="78" t="s">
        <v>57</v>
      </c>
      <c r="K5" s="78" t="s">
        <v>95</v>
      </c>
      <c r="L5" s="78" t="s">
        <v>57</v>
      </c>
    </row>
    <row r="6" spans="1:16" ht="12.75" x14ac:dyDescent="0.2">
      <c r="B6" s="79"/>
      <c r="C6" s="80"/>
      <c r="D6" s="80"/>
      <c r="E6" s="80"/>
      <c r="F6" s="80"/>
      <c r="G6" s="136"/>
      <c r="H6" s="136"/>
      <c r="I6" s="136"/>
      <c r="J6" s="136"/>
    </row>
    <row r="7" spans="1:16" x14ac:dyDescent="0.25">
      <c r="B7" s="208" t="s">
        <v>76</v>
      </c>
      <c r="C7" s="212">
        <f>288280.575940776*('2022 IR Data Book'!$A$5)</f>
        <v>288280.57594077598</v>
      </c>
      <c r="D7" s="212">
        <f>328594.887287615*('2022 IR Data Book'!$A$5)</f>
        <v>328594.88728761498</v>
      </c>
      <c r="E7" s="212">
        <f>317999.956029371*('2022 IR Data Book'!$A$5)</f>
        <v>317999.95602937101</v>
      </c>
      <c r="F7" s="212">
        <f>390676.023992678*('2022 IR Data Book'!$A$5)</f>
        <v>390676.02399267798</v>
      </c>
      <c r="G7" s="212">
        <f>391132.666929349*('2022 IR Data Book'!$A$5)</f>
        <v>391132.66692934901</v>
      </c>
      <c r="H7" s="212">
        <f>432410.059701346*('2022 IR Data Book'!$A$5)</f>
        <v>432410.05970134598</v>
      </c>
      <c r="I7" s="213">
        <f>(H7-D7)</f>
        <v>103815.17241373099</v>
      </c>
      <c r="J7" s="214">
        <f>I7/D7</f>
        <v>0.31593666374627088</v>
      </c>
      <c r="K7" s="213">
        <f>(H7+G7)-(D7+C7)</f>
        <v>206667.26340230391</v>
      </c>
      <c r="L7" s="214">
        <f>K7/(D7+C7)</f>
        <v>0.33502266781810341</v>
      </c>
    </row>
    <row r="8" spans="1:16" x14ac:dyDescent="0.25">
      <c r="B8" s="209" t="s">
        <v>77</v>
      </c>
      <c r="C8" s="215">
        <f>251447.615478377*('2022 IR Data Book'!$A$5)</f>
        <v>251447.615478377</v>
      </c>
      <c r="D8" s="215">
        <f>294641.538103587*('2022 IR Data Book'!$A$5)</f>
        <v>294641.53810358699</v>
      </c>
      <c r="E8" s="215">
        <f>279789.238512976*('2022 IR Data Book'!$A$5)</f>
        <v>279789.23851297598</v>
      </c>
      <c r="F8" s="215">
        <f>345797.662241694*('2022 IR Data Book'!$A$5)</f>
        <v>345797.66224169399</v>
      </c>
      <c r="G8" s="215">
        <f>339170.526827265*('2022 IR Data Book'!$A$5)</f>
        <v>339170.52682726498</v>
      </c>
      <c r="H8" s="215">
        <f>374509.42866716*('2022 IR Data Book'!$A$5)</f>
        <v>374509.42866715998</v>
      </c>
      <c r="I8" s="216">
        <f>(H8-D8)</f>
        <v>79867.89056357299</v>
      </c>
      <c r="J8" s="217">
        <f>I8/D8</f>
        <v>0.27106799359530181</v>
      </c>
      <c r="K8" s="216">
        <f>(H8+G8)-(D8+C8)</f>
        <v>167590.80191246106</v>
      </c>
      <c r="L8" s="217">
        <f>K8/(D8+C8)</f>
        <v>0.30689274967866015</v>
      </c>
    </row>
    <row r="9" spans="1:16" x14ac:dyDescent="0.25">
      <c r="B9" s="208" t="s">
        <v>41</v>
      </c>
      <c r="C9" s="212">
        <f>C7-C8</f>
        <v>36832.960462398973</v>
      </c>
      <c r="D9" s="212">
        <f t="shared" ref="D9:K9" si="0">D7-D8</f>
        <v>33953.349184027989</v>
      </c>
      <c r="E9" s="212">
        <f t="shared" si="0"/>
        <v>38210.717516395031</v>
      </c>
      <c r="F9" s="212">
        <f t="shared" si="0"/>
        <v>44878.361750983982</v>
      </c>
      <c r="G9" s="212">
        <f t="shared" si="0"/>
        <v>51962.140102084028</v>
      </c>
      <c r="H9" s="212">
        <f t="shared" si="0"/>
        <v>57900.631034185993</v>
      </c>
      <c r="I9" s="212">
        <f t="shared" si="0"/>
        <v>23947.281850158004</v>
      </c>
      <c r="J9" s="214">
        <f>I9/D9</f>
        <v>0.70529954851767773</v>
      </c>
      <c r="K9" s="212">
        <f t="shared" si="0"/>
        <v>39076.461489842855</v>
      </c>
      <c r="L9" s="214">
        <f>K9/(D9+C9)</f>
        <v>0.55203416712959408</v>
      </c>
    </row>
    <row r="10" spans="1:16" x14ac:dyDescent="0.25">
      <c r="B10" s="210" t="s">
        <v>78</v>
      </c>
      <c r="C10" s="218">
        <f>C9/C7</f>
        <v>0.12776774967303345</v>
      </c>
      <c r="D10" s="218">
        <f t="shared" ref="D10:H10" si="1">D9/D7</f>
        <v>0.10332890284537218</v>
      </c>
      <c r="E10" s="218">
        <f t="shared" si="1"/>
        <v>0.12015950566001281</v>
      </c>
      <c r="F10" s="218">
        <f t="shared" si="1"/>
        <v>0.11487360112947471</v>
      </c>
      <c r="G10" s="218">
        <f t="shared" si="1"/>
        <v>0.13285042262008262</v>
      </c>
      <c r="H10" s="218">
        <f t="shared" si="1"/>
        <v>0.13390213695346589</v>
      </c>
      <c r="I10" s="218"/>
      <c r="J10" s="218"/>
      <c r="K10" s="218"/>
      <c r="L10" s="218"/>
    </row>
    <row r="11" spans="1:16" x14ac:dyDescent="0.25">
      <c r="B11" s="82" t="s">
        <v>79</v>
      </c>
      <c r="C11" s="219">
        <f>32732.6409250042*('2022 IR Data Book'!$A$5)</f>
        <v>32732.640925004202</v>
      </c>
      <c r="D11" s="219">
        <f>34550.7422333988*('2022 IR Data Book'!$A$5)</f>
        <v>34550.7422333988</v>
      </c>
      <c r="E11" s="219">
        <f>32887.0842982675*('2022 IR Data Book'!$A$5)</f>
        <v>32887.084298267502</v>
      </c>
      <c r="F11" s="219">
        <f>40441.5146286001*('2022 IR Data Book'!$A$5)</f>
        <v>40441.514628600104</v>
      </c>
      <c r="G11" s="219">
        <f>35545.8533554252*('2022 IR Data Book'!$A$5)</f>
        <v>35545.853355425199</v>
      </c>
      <c r="H11" s="219">
        <f>39705.6464057161*('2022 IR Data Book'!$A$5)</f>
        <v>39705.646405716099</v>
      </c>
      <c r="I11" s="220">
        <f>(H11-D11)</f>
        <v>5154.9041723172995</v>
      </c>
      <c r="J11" s="217">
        <f>I11/D11</f>
        <v>0.14919807330026799</v>
      </c>
      <c r="K11" s="220">
        <f>(H11+G11)-(D11+C11)</f>
        <v>7968.1166027383006</v>
      </c>
      <c r="L11" s="217">
        <f>K11/(D11+C11)</f>
        <v>0.11842621801551258</v>
      </c>
    </row>
    <row r="12" spans="1:16" x14ac:dyDescent="0.25">
      <c r="B12" s="83" t="s">
        <v>80</v>
      </c>
      <c r="C12" s="221">
        <f>3822.92049566416*('2022 IR Data Book'!$A$5)</f>
        <v>3822.9204956641602</v>
      </c>
      <c r="D12" s="221">
        <f>171.814102409621*('2022 IR Data Book'!$A$5)</f>
        <v>171.814102409621</v>
      </c>
      <c r="E12" s="221">
        <f>6175.94418512423*('2022 IR Data Book'!$A$5)</f>
        <v>6175.94418512423</v>
      </c>
      <c r="F12" s="221">
        <f>4141.4806397408*('2022 IR Data Book'!$A$5)</f>
        <v>4141.4806397408001</v>
      </c>
      <c r="G12" s="221">
        <f>14686.2116146079*('2022 IR Data Book'!$A$5)</f>
        <v>14686.211614607901</v>
      </c>
      <c r="H12" s="221">
        <f>17191.5272319881*('2022 IR Data Book'!$A$5)</f>
        <v>17191.527231988101</v>
      </c>
      <c r="I12" s="221">
        <f>(H12-D12)</f>
        <v>17019.713129578478</v>
      </c>
      <c r="J12" s="222">
        <f>I12/D12</f>
        <v>99.058883356395739</v>
      </c>
      <c r="K12" s="221">
        <f>(H12+G12)-(D12+C12)</f>
        <v>27883.004248522222</v>
      </c>
      <c r="L12" s="222">
        <f>K12/(D12+C12)</f>
        <v>6.9799391083370379</v>
      </c>
    </row>
    <row r="13" spans="1:16" x14ac:dyDescent="0.25">
      <c r="B13" s="73" t="s">
        <v>81</v>
      </c>
      <c r="C13" s="218">
        <f>C12/C7</f>
        <v>1.326111023328029E-2</v>
      </c>
      <c r="D13" s="218">
        <f>D12/D7</f>
        <v>5.2287515435148657E-4</v>
      </c>
      <c r="E13" s="218">
        <f t="shared" ref="E13:H13" si="2">E12/E7</f>
        <v>1.9421210814739263E-2</v>
      </c>
      <c r="F13" s="218">
        <f t="shared" si="2"/>
        <v>1.0600805745423526E-2</v>
      </c>
      <c r="G13" s="218">
        <f t="shared" si="2"/>
        <v>3.7547903451543456E-2</v>
      </c>
      <c r="H13" s="218">
        <f t="shared" si="2"/>
        <v>3.975746365350942E-2</v>
      </c>
      <c r="I13" s="218"/>
      <c r="J13" s="218"/>
      <c r="K13" s="218"/>
      <c r="L13" s="218"/>
    </row>
    <row r="14" spans="1:16" x14ac:dyDescent="0.25">
      <c r="B14" s="83" t="s">
        <v>82</v>
      </c>
      <c r="C14" s="221">
        <f>11649.503469717*('2022 IR Data Book'!$A$5)</f>
        <v>11649.503469716999</v>
      </c>
      <c r="D14" s="221">
        <f>7725.88673752908*('2022 IR Data Book'!$A$5)</f>
        <v>7725.8867375290802</v>
      </c>
      <c r="E14" s="221">
        <f>12716.2005748895*('2022 IR Data Book'!$A$5)</f>
        <v>12716.200574889501</v>
      </c>
      <c r="F14" s="221">
        <f>11485.7085158038*('2022 IR Data Book'!$A$5)</f>
        <v>11485.708515803801</v>
      </c>
      <c r="G14" s="221">
        <f>21571.2629559869*('2022 IR Data Book'!$A$5)</f>
        <v>21571.262955986898</v>
      </c>
      <c r="H14" s="221">
        <f>24721.107975711*('2022 IR Data Book'!$A$5)</f>
        <v>24721.107975710998</v>
      </c>
      <c r="I14" s="221">
        <f>(H14-D14)</f>
        <v>16995.221238181919</v>
      </c>
      <c r="J14" s="222">
        <f>I14/D14</f>
        <v>2.19977613127906</v>
      </c>
      <c r="K14" s="221">
        <f>(H14+G14)-(D14+C14)</f>
        <v>26916.980724451812</v>
      </c>
      <c r="L14" s="222">
        <f>K14/(D14+C14)</f>
        <v>1.3892355424349234</v>
      </c>
    </row>
    <row r="15" spans="1:16" x14ac:dyDescent="0.25">
      <c r="B15" s="73" t="s">
        <v>83</v>
      </c>
      <c r="C15" s="218">
        <f>C14/C7</f>
        <v>4.0410296225127075E-2</v>
      </c>
      <c r="D15" s="218">
        <f t="shared" ref="D15:H15" si="3">D14/D7</f>
        <v>2.3511889674554518E-2</v>
      </c>
      <c r="E15" s="218">
        <f t="shared" si="3"/>
        <v>3.9988057651539462E-2</v>
      </c>
      <c r="F15" s="218">
        <f t="shared" si="3"/>
        <v>2.9399573586371568E-2</v>
      </c>
      <c r="G15" s="218">
        <f t="shared" si="3"/>
        <v>5.5150757734800389E-2</v>
      </c>
      <c r="H15" s="218">
        <f t="shared" si="3"/>
        <v>5.7170520021632254E-2</v>
      </c>
      <c r="I15" s="218"/>
      <c r="J15" s="218"/>
      <c r="K15" s="218"/>
      <c r="L15" s="218"/>
    </row>
    <row r="16" spans="1:16" ht="12.75" x14ac:dyDescent="0.2">
      <c r="B16" s="187"/>
    </row>
    <row r="17" spans="2:8" ht="12.75" x14ac:dyDescent="0.2">
      <c r="B17" s="206" t="s">
        <v>99</v>
      </c>
      <c r="C17" s="207"/>
      <c r="D17" s="207"/>
      <c r="E17" s="207"/>
      <c r="F17" s="207"/>
      <c r="G17" s="207"/>
      <c r="H17" s="207"/>
    </row>
    <row r="18" spans="2:8" ht="12.75" x14ac:dyDescent="0.2">
      <c r="B18" s="21" t="s">
        <v>51</v>
      </c>
      <c r="C18" s="147">
        <v>0.15585014594991983</v>
      </c>
      <c r="D18" s="147">
        <v>0.14526281720540077</v>
      </c>
      <c r="E18" s="147">
        <v>-2.9198773946729043E-2</v>
      </c>
      <c r="F18" s="147">
        <v>0.33338594785722442</v>
      </c>
      <c r="G18" s="147">
        <v>0.2370911957079023</v>
      </c>
      <c r="H18" s="147">
        <v>0.27387375136178332</v>
      </c>
    </row>
    <row r="19" spans="2:8" ht="12.75" x14ac:dyDescent="0.2">
      <c r="B19" s="21" t="s">
        <v>65</v>
      </c>
      <c r="C19" s="147">
        <v>-9.3822470364517255E-2</v>
      </c>
      <c r="D19" s="147">
        <v>0.24473669127895861</v>
      </c>
      <c r="E19" s="147">
        <v>0.13019892071181566</v>
      </c>
      <c r="F19" s="147">
        <v>0.61293956490381851</v>
      </c>
      <c r="G19" s="147">
        <v>0.61714696511871825</v>
      </c>
      <c r="H19" s="147">
        <v>0.38919764564359816</v>
      </c>
    </row>
    <row r="20" spans="2:8" ht="12.75" x14ac:dyDescent="0.2">
      <c r="B20" s="21" t="s">
        <v>66</v>
      </c>
      <c r="C20" s="147">
        <v>0.48599110357756375</v>
      </c>
      <c r="D20" s="147">
        <v>0.22699990353761734</v>
      </c>
      <c r="E20" s="147">
        <v>0.19134989739733096</v>
      </c>
      <c r="F20" s="147">
        <v>-8.1555230209199615E-3</v>
      </c>
      <c r="G20" s="147">
        <v>0.62035001089809916</v>
      </c>
      <c r="H20" s="147">
        <v>0.2558193501834638</v>
      </c>
    </row>
    <row r="21" spans="2:8" ht="12.75" x14ac:dyDescent="0.2">
      <c r="B21" s="21" t="s">
        <v>67</v>
      </c>
      <c r="C21" s="147">
        <v>0.38587758322983479</v>
      </c>
      <c r="D21" s="147">
        <v>2.8249879233841108E-2</v>
      </c>
      <c r="E21" s="147">
        <v>0.37505231019287716</v>
      </c>
      <c r="F21" s="147">
        <v>0.11845550723077536</v>
      </c>
      <c r="G21" s="147">
        <v>-1.347067830627373E-2</v>
      </c>
      <c r="H21" s="147">
        <v>3.1369886432068277E-2</v>
      </c>
    </row>
    <row r="22" spans="2:8" ht="12.75" x14ac:dyDescent="0.2">
      <c r="B22" s="21" t="s">
        <v>68</v>
      </c>
      <c r="C22" s="147">
        <v>0.55049819658092358</v>
      </c>
      <c r="D22" s="147">
        <v>1.2511397214501936E-2</v>
      </c>
      <c r="E22" s="147">
        <v>1.3258944669880601</v>
      </c>
      <c r="F22" s="147">
        <v>1.2233697987795404</v>
      </c>
      <c r="G22" s="147">
        <v>0.85207391067805527</v>
      </c>
      <c r="H22" s="147">
        <v>1.6925417859472704</v>
      </c>
    </row>
    <row r="23" spans="2:8" ht="12.75" x14ac:dyDescent="0.2">
      <c r="B23" s="21" t="s">
        <v>253</v>
      </c>
      <c r="C23" s="147">
        <v>-0.21811821087864877</v>
      </c>
      <c r="D23" s="147">
        <v>-0.39367574614663692</v>
      </c>
      <c r="E23" s="147">
        <v>-0.27742975088157307</v>
      </c>
      <c r="F23" s="147">
        <v>-8.7021103008562334E-2</v>
      </c>
      <c r="G23" s="147">
        <v>0.14283019762075699</v>
      </c>
      <c r="H23" s="239">
        <v>2.8646537251736519</v>
      </c>
    </row>
    <row r="24" spans="2:8" ht="12.75" x14ac:dyDescent="0.2">
      <c r="B24" s="21" t="s">
        <v>254</v>
      </c>
      <c r="C24" s="147">
        <v>0.6014692289567598</v>
      </c>
      <c r="D24" s="147">
        <v>-9.9783000920085782E-2</v>
      </c>
      <c r="E24" s="147">
        <v>0.14620061372138723</v>
      </c>
      <c r="F24" s="147">
        <v>0.56513228396085269</v>
      </c>
      <c r="G24" s="147">
        <v>3.9136548405105671E-2</v>
      </c>
      <c r="H24" s="147">
        <v>0.27563145700811015</v>
      </c>
    </row>
    <row r="25" spans="2:8" ht="12.75" x14ac:dyDescent="0.2">
      <c r="B25" s="21" t="s">
        <v>71</v>
      </c>
      <c r="C25" s="147" t="s">
        <v>274</v>
      </c>
      <c r="D25" s="147" t="s">
        <v>274</v>
      </c>
      <c r="E25" s="147" t="s">
        <v>274</v>
      </c>
      <c r="F25" s="147" t="s">
        <v>274</v>
      </c>
      <c r="G25" s="147" t="s">
        <v>274</v>
      </c>
      <c r="H25" s="147" t="s">
        <v>274</v>
      </c>
    </row>
    <row r="26" spans="2:8" ht="12.75" x14ac:dyDescent="0.2">
      <c r="B26" s="21" t="s">
        <v>255</v>
      </c>
      <c r="C26" s="147">
        <v>-1</v>
      </c>
      <c r="D26" s="147" t="s">
        <v>274</v>
      </c>
      <c r="E26" s="147">
        <v>-1</v>
      </c>
      <c r="F26" s="147">
        <v>-1</v>
      </c>
      <c r="G26" s="147" t="s">
        <v>274</v>
      </c>
      <c r="H26" s="147" t="s">
        <v>274</v>
      </c>
    </row>
  </sheetData>
  <mergeCells count="2">
    <mergeCell ref="I4:J4"/>
    <mergeCell ref="K4:L4"/>
  </mergeCells>
  <pageMargins left="0.7" right="0.7" top="0.75" bottom="0.75" header="0.3" footer="0.3"/>
  <pageSetup orientation="portrait" horizontalDpi="1200" verticalDpi="1200" r:id="rId1"/>
  <ignoredErrors>
    <ignoredError sqref="J9"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7755B9-69DF-4BD5-9234-10549B0E832D}">
  <dimension ref="A1:T26"/>
  <sheetViews>
    <sheetView showGridLines="0" workbookViewId="0">
      <pane xSplit="2" ySplit="6" topLeftCell="C7" activePane="bottomRight" state="frozen"/>
      <selection activeCell="P28" sqref="P28"/>
      <selection pane="topRight" activeCell="P28" sqref="P28"/>
      <selection pane="bottomLeft" activeCell="P28" sqref="P28"/>
      <selection pane="bottomRight" activeCell="E14" sqref="E14"/>
    </sheetView>
  </sheetViews>
  <sheetFormatPr defaultRowHeight="12.75" x14ac:dyDescent="0.2"/>
  <cols>
    <col min="1" max="1" width="9.140625" style="21"/>
    <col min="2" max="2" width="24.85546875" style="21" bestFit="1" customWidth="1"/>
    <col min="3" max="3" width="18.140625" style="21" customWidth="1"/>
    <col min="4" max="6" width="13.28515625" style="21" bestFit="1" customWidth="1"/>
    <col min="7" max="7" width="12.140625" style="21" customWidth="1"/>
    <col min="8" max="8" width="12.7109375" style="21" bestFit="1" customWidth="1"/>
    <col min="9" max="9" width="13.28515625" style="21" customWidth="1"/>
    <col min="10" max="10" width="9.140625" style="21"/>
    <col min="11" max="11" width="14.5703125" style="21" customWidth="1"/>
    <col min="12" max="16384" width="9.140625" style="21"/>
  </cols>
  <sheetData>
    <row r="1" spans="1:20" x14ac:dyDescent="0.2">
      <c r="A1" s="189">
        <f>'2022 IR Data Book'!$A$5</f>
        <v>1</v>
      </c>
    </row>
    <row r="2" spans="1:20" x14ac:dyDescent="0.2">
      <c r="A2" s="189"/>
    </row>
    <row r="3" spans="1:20" ht="15" x14ac:dyDescent="0.25">
      <c r="B3" s="73"/>
    </row>
    <row r="4" spans="1:20" x14ac:dyDescent="0.2">
      <c r="B4" s="75" t="s">
        <v>74</v>
      </c>
      <c r="C4" s="75"/>
      <c r="D4" s="76"/>
      <c r="E4" s="75"/>
      <c r="F4" s="75"/>
      <c r="G4" s="75"/>
      <c r="H4" s="76"/>
      <c r="I4" s="244" t="s">
        <v>75</v>
      </c>
      <c r="J4" s="244"/>
      <c r="K4" s="244" t="s">
        <v>75</v>
      </c>
      <c r="L4" s="244"/>
      <c r="T4" s="74"/>
    </row>
    <row r="5" spans="1:20" x14ac:dyDescent="0.2">
      <c r="B5" s="148"/>
      <c r="C5" s="78" t="s">
        <v>44</v>
      </c>
      <c r="D5" s="78" t="s">
        <v>45</v>
      </c>
      <c r="E5" s="78" t="s">
        <v>47</v>
      </c>
      <c r="F5" s="78" t="s">
        <v>49</v>
      </c>
      <c r="G5" s="78" t="s">
        <v>84</v>
      </c>
      <c r="H5" s="78" t="s">
        <v>85</v>
      </c>
      <c r="I5" s="78" t="s">
        <v>86</v>
      </c>
      <c r="J5" s="78" t="s">
        <v>57</v>
      </c>
      <c r="K5" s="78" t="s">
        <v>95</v>
      </c>
      <c r="L5" s="78" t="s">
        <v>57</v>
      </c>
    </row>
    <row r="6" spans="1:20" x14ac:dyDescent="0.2">
      <c r="B6" s="79"/>
      <c r="C6" s="79"/>
      <c r="D6" s="79"/>
      <c r="E6" s="79"/>
      <c r="F6" s="79"/>
      <c r="G6" s="79"/>
      <c r="H6" s="79"/>
      <c r="I6" s="79"/>
      <c r="J6" s="79"/>
      <c r="K6" s="79"/>
      <c r="L6" s="79"/>
      <c r="M6" s="79"/>
    </row>
    <row r="7" spans="1:20" x14ac:dyDescent="0.2">
      <c r="B7" s="223" t="s">
        <v>76</v>
      </c>
      <c r="C7" s="212">
        <f>104585.74155785*('2022 IR Data Book'!$A$5)</f>
        <v>104585.74155784999</v>
      </c>
      <c r="D7" s="212">
        <f>108808.981524708*('2022 IR Data Book'!$A$5)</f>
        <v>108808.981524708</v>
      </c>
      <c r="E7" s="212">
        <f>108445.010175879*('2022 IR Data Book'!$A$5)</f>
        <v>108445.010175879</v>
      </c>
      <c r="F7" s="212">
        <f>113016.407797778*('2022 IR Data Book'!$A$5)</f>
        <v>113016.407797778</v>
      </c>
      <c r="G7" s="212">
        <f>112105.259668336*('2022 IR Data Book'!$A$5)</f>
        <v>112105.259668336</v>
      </c>
      <c r="H7" s="212">
        <f>111756.154186905*('2022 IR Data Book'!$A$5)</f>
        <v>111756.154186905</v>
      </c>
      <c r="I7" s="213">
        <f>(H7-D7)</f>
        <v>2947.172662197001</v>
      </c>
      <c r="J7" s="214">
        <f>I7/D7</f>
        <v>2.7085748077954084E-2</v>
      </c>
      <c r="K7" s="213">
        <f>(H7+G7)-(D7+C7)</f>
        <v>10466.69077268301</v>
      </c>
      <c r="L7" s="214">
        <f>K7/(D7+C7)</f>
        <v>4.9048498582758601E-2</v>
      </c>
    </row>
    <row r="8" spans="1:20" x14ac:dyDescent="0.2">
      <c r="B8" s="224" t="s">
        <v>77</v>
      </c>
      <c r="C8" s="215">
        <f>86553.9529170147*('2022 IR Data Book'!$A$5)</f>
        <v>86553.9529170147</v>
      </c>
      <c r="D8" s="215">
        <f>101894.161962373*('2022 IR Data Book'!$A$5)</f>
        <v>101894.16196237299</v>
      </c>
      <c r="E8" s="215">
        <f>94777.1994902576*('2022 IR Data Book'!$A$5)</f>
        <v>94777.199490257597</v>
      </c>
      <c r="F8" s="215">
        <f>109150.046082504*('2022 IR Data Book'!$A$5)</f>
        <v>109150.04608250401</v>
      </c>
      <c r="G8" s="215">
        <f>98842.8369854852*('2022 IR Data Book'!$A$5)</f>
        <v>98842.836985485206</v>
      </c>
      <c r="H8" s="215">
        <f>83311.6154577578*('2022 IR Data Book'!$A$5)</f>
        <v>83311.615457757798</v>
      </c>
      <c r="I8" s="216">
        <f>(H8-D8)</f>
        <v>-18582.546504615195</v>
      </c>
      <c r="J8" s="217">
        <f>I8/D8</f>
        <v>-0.18237106176384543</v>
      </c>
      <c r="K8" s="216">
        <f>(H8+G8)-(D8+C8)</f>
        <v>-6293.6624361446884</v>
      </c>
      <c r="L8" s="217">
        <f>K8/(D8+C8)</f>
        <v>-3.3397322335502355E-2</v>
      </c>
    </row>
    <row r="9" spans="1:20" x14ac:dyDescent="0.2">
      <c r="B9" s="223" t="s">
        <v>41</v>
      </c>
      <c r="C9" s="212">
        <f t="shared" ref="C9:H9" si="0">C7-C8</f>
        <v>18031.788640835293</v>
      </c>
      <c r="D9" s="212">
        <f t="shared" si="0"/>
        <v>6914.8195623350039</v>
      </c>
      <c r="E9" s="212">
        <f t="shared" si="0"/>
        <v>13667.8106856214</v>
      </c>
      <c r="F9" s="212">
        <f t="shared" si="0"/>
        <v>3866.3617152739898</v>
      </c>
      <c r="G9" s="212">
        <f t="shared" si="0"/>
        <v>13262.422682850796</v>
      </c>
      <c r="H9" s="212">
        <f t="shared" si="0"/>
        <v>28444.5387291472</v>
      </c>
      <c r="I9" s="225">
        <f>(H9-D9)</f>
        <v>21529.719166812196</v>
      </c>
      <c r="J9" s="214">
        <f>I9/D9</f>
        <v>3.1135619624963891</v>
      </c>
      <c r="K9" s="212">
        <f t="shared" ref="K9" si="1">K7-K8</f>
        <v>16760.353208827699</v>
      </c>
      <c r="L9" s="214">
        <f>K9/(D9+C9)</f>
        <v>0.671848977316994</v>
      </c>
    </row>
    <row r="10" spans="1:20" x14ac:dyDescent="0.2">
      <c r="B10" s="226" t="s">
        <v>78</v>
      </c>
      <c r="C10" s="218">
        <f t="shared" ref="C10:H10" si="2">C9/C7</f>
        <v>0.17241153882206101</v>
      </c>
      <c r="D10" s="218">
        <f t="shared" si="2"/>
        <v>6.3550080751052784E-2</v>
      </c>
      <c r="E10" s="218">
        <f t="shared" si="2"/>
        <v>0.12603448202415751</v>
      </c>
      <c r="F10" s="218">
        <f t="shared" si="2"/>
        <v>3.4210622958324159E-2</v>
      </c>
      <c r="G10" s="218">
        <f t="shared" si="2"/>
        <v>0.11830330460932648</v>
      </c>
      <c r="H10" s="218">
        <f t="shared" si="2"/>
        <v>0.25452324246569485</v>
      </c>
      <c r="I10" s="218"/>
      <c r="J10" s="218"/>
      <c r="K10" s="218"/>
      <c r="L10" s="218"/>
    </row>
    <row r="11" spans="1:20" x14ac:dyDescent="0.2">
      <c r="B11" s="227" t="s">
        <v>79</v>
      </c>
      <c r="C11" s="219">
        <f>14151.3708617567*('2022 IR Data Book'!$A$5)</f>
        <v>14151.370861756701</v>
      </c>
      <c r="D11" s="219">
        <f>12503.673217457*('2022 IR Data Book'!$A$5)</f>
        <v>12503.673217457001</v>
      </c>
      <c r="E11" s="219">
        <f>12866.5578750044*('2022 IR Data Book'!$A$5)</f>
        <v>12866.557875004401</v>
      </c>
      <c r="F11" s="219">
        <f>13509.6886457742*('2022 IR Data Book'!$A$5)</f>
        <v>13509.6886457742</v>
      </c>
      <c r="G11" s="219">
        <f>12488.2822726158*('2022 IR Data Book'!$A$5)</f>
        <v>12488.282272615799</v>
      </c>
      <c r="H11" s="219">
        <f>17395.7046626744*('2022 IR Data Book'!$A$5)</f>
        <v>17395.704662674401</v>
      </c>
      <c r="I11" s="220">
        <f>(H11-D11)</f>
        <v>4892.0314452174007</v>
      </c>
      <c r="J11" s="217">
        <f>I11/D11</f>
        <v>0.39124754463251582</v>
      </c>
      <c r="K11" s="220">
        <f>(H11+G11)-(D11+C11)</f>
        <v>3228.9428560765009</v>
      </c>
      <c r="L11" s="217">
        <f>K11/(D11+C11)</f>
        <v>0.1211381548077992</v>
      </c>
    </row>
    <row r="12" spans="1:20" x14ac:dyDescent="0.2">
      <c r="B12" s="228" t="s">
        <v>80</v>
      </c>
      <c r="C12" s="221">
        <f>5702.3992194531*('2022 IR Data Book'!$A$5)</f>
        <v>5702.3992194531002</v>
      </c>
      <c r="D12" s="221">
        <f>-5088.39048845237*('2022 IR Data Book'!$A$5)</f>
        <v>-5088.3904884523699</v>
      </c>
      <c r="E12" s="221">
        <f>5985.16137706213*('2022 IR Data Book'!$A$5)</f>
        <v>5985.1613770621298</v>
      </c>
      <c r="F12" s="221">
        <f>15863.6146362646*('2022 IR Data Book'!$A$5)</f>
        <v>15863.6146362646</v>
      </c>
      <c r="G12" s="221">
        <f>5884.6276069966*('2022 IR Data Book'!$A$5)</f>
        <v>5884.6276069965998</v>
      </c>
      <c r="H12" s="221">
        <f>5179.84324275896*('2022 IR Data Book'!$A$5)</f>
        <v>5179.8432427589596</v>
      </c>
      <c r="I12" s="221">
        <f>(H12-D12)</f>
        <v>10268.23373121133</v>
      </c>
      <c r="J12" s="222">
        <f>-I12/D12</f>
        <v>2.0179728254964187</v>
      </c>
      <c r="K12" s="221">
        <f>(H12+G12)-(D12+C12)</f>
        <v>10450.462118754829</v>
      </c>
      <c r="L12" s="222">
        <f>K12/(D12+C12)</f>
        <v>17.020054587371007</v>
      </c>
    </row>
    <row r="13" spans="1:20" x14ac:dyDescent="0.2">
      <c r="B13" s="229" t="s">
        <v>81</v>
      </c>
      <c r="C13" s="218">
        <f t="shared" ref="C13:H13" si="3">C12/C7</f>
        <v>5.4523677267220079E-2</v>
      </c>
      <c r="D13" s="218">
        <f t="shared" si="3"/>
        <v>-4.6764434490152031E-2</v>
      </c>
      <c r="E13" s="218">
        <f t="shared" si="3"/>
        <v>5.5190749370166832E-2</v>
      </c>
      <c r="F13" s="218">
        <f t="shared" si="3"/>
        <v>0.14036558890324677</v>
      </c>
      <c r="G13" s="218">
        <f t="shared" si="3"/>
        <v>5.2491984982741234E-2</v>
      </c>
      <c r="H13" s="218">
        <f t="shared" si="3"/>
        <v>4.634951229706781E-2</v>
      </c>
      <c r="I13" s="218"/>
      <c r="J13" s="218"/>
      <c r="K13" s="218"/>
      <c r="L13" s="218"/>
    </row>
    <row r="14" spans="1:20" x14ac:dyDescent="0.2">
      <c r="B14" s="228" t="s">
        <v>82</v>
      </c>
      <c r="C14" s="221">
        <f>25987.4230939523*('2022 IR Data Book'!$A$5)</f>
        <v>25987.4230939523</v>
      </c>
      <c r="D14" s="221">
        <f>17185.0201260158*('2022 IR Data Book'!$A$5)</f>
        <v>17185.020126015799</v>
      </c>
      <c r="E14" s="221">
        <f>29044.747017811*('2022 IR Data Book'!$A$5)</f>
        <v>29044.747017811002</v>
      </c>
      <c r="F14" s="221">
        <f>38202.3772115573*('2022 IR Data Book'!$A$5)</f>
        <v>38202.377211557301</v>
      </c>
      <c r="G14" s="221">
        <f>28854.0524476527*('2022 IR Data Book'!$A$5)</f>
        <v>28854.052447652699</v>
      </c>
      <c r="H14" s="221">
        <f>26975.4387801771*('2022 IR Data Book'!$A$5)</f>
        <v>26975.438780177101</v>
      </c>
      <c r="I14" s="221">
        <f>(H14-D14)</f>
        <v>9790.4186541613017</v>
      </c>
      <c r="J14" s="222">
        <f>I14/D14</f>
        <v>0.56970655736037978</v>
      </c>
      <c r="K14" s="221">
        <f>(H14+G14)-(D14+C14)</f>
        <v>12657.048007861697</v>
      </c>
      <c r="L14" s="222">
        <f>K14/(D14+C14)</f>
        <v>0.2931742348556165</v>
      </c>
    </row>
    <row r="15" spans="1:20" x14ac:dyDescent="0.2">
      <c r="B15" s="229" t="s">
        <v>83</v>
      </c>
      <c r="C15" s="218">
        <f t="shared" ref="C15:H15" si="4">C14/C7</f>
        <v>0.24847959871831818</v>
      </c>
      <c r="D15" s="218">
        <f t="shared" si="4"/>
        <v>0.1579375147640131</v>
      </c>
      <c r="E15" s="218">
        <f t="shared" si="4"/>
        <v>0.26782926176783478</v>
      </c>
      <c r="F15" s="218">
        <f t="shared" si="4"/>
        <v>0.33802505278625916</v>
      </c>
      <c r="G15" s="218">
        <f t="shared" si="4"/>
        <v>0.25738357444617288</v>
      </c>
      <c r="H15" s="218">
        <f t="shared" si="4"/>
        <v>0.24137765813829287</v>
      </c>
      <c r="I15" s="136"/>
      <c r="J15" s="136"/>
    </row>
    <row r="17" spans="2:8" x14ac:dyDescent="0.2">
      <c r="B17" s="206" t="s">
        <v>99</v>
      </c>
      <c r="C17" s="207"/>
      <c r="D17" s="207"/>
      <c r="E17" s="207"/>
      <c r="F17" s="207"/>
      <c r="G17" s="207"/>
      <c r="H17" s="207"/>
    </row>
    <row r="18" spans="2:8" x14ac:dyDescent="0.2">
      <c r="B18" s="21" t="s">
        <v>51</v>
      </c>
      <c r="C18" s="147">
        <v>-0.13196338711442324</v>
      </c>
      <c r="D18" s="147">
        <v>-1.9343492343418219E-3</v>
      </c>
      <c r="E18" s="147">
        <v>3.9608335398895071E-2</v>
      </c>
      <c r="F18" s="147">
        <v>7.9053017405667475E-2</v>
      </c>
      <c r="G18" s="147">
        <v>9.886838326695678E-2</v>
      </c>
      <c r="H18" s="147">
        <v>2.4528868940129744E-3</v>
      </c>
    </row>
    <row r="19" spans="2:8" x14ac:dyDescent="0.2">
      <c r="B19" s="21" t="s">
        <v>65</v>
      </c>
      <c r="C19" s="147">
        <v>0.28858975521271113</v>
      </c>
      <c r="D19" s="147">
        <v>9.6716719806261273E-2</v>
      </c>
      <c r="E19" s="147">
        <v>0.37559028885194357</v>
      </c>
      <c r="F19" s="147">
        <v>0.28339755505550801</v>
      </c>
      <c r="G19" s="147">
        <v>0.13180470459836111</v>
      </c>
      <c r="H19" s="147">
        <v>5.2698272173471769E-2</v>
      </c>
    </row>
    <row r="20" spans="2:8" x14ac:dyDescent="0.2">
      <c r="B20" s="21" t="s">
        <v>66</v>
      </c>
      <c r="C20" s="147">
        <v>2.3463770475325389E-2</v>
      </c>
      <c r="D20" s="147">
        <v>-0.11798727792868617</v>
      </c>
      <c r="E20" s="147">
        <v>6.992362024776011E-2</v>
      </c>
      <c r="F20" s="147">
        <v>2.8424477174823357E-2</v>
      </c>
      <c r="G20" s="147">
        <v>-6.1047451551570202E-2</v>
      </c>
      <c r="H20" s="147">
        <v>0.11380359713645105</v>
      </c>
    </row>
    <row r="21" spans="2:8" x14ac:dyDescent="0.2">
      <c r="B21" s="21" t="s">
        <v>67</v>
      </c>
      <c r="C21" s="147">
        <v>0.15191887250696318</v>
      </c>
      <c r="D21" s="147">
        <v>-6.3690187624162703E-2</v>
      </c>
      <c r="E21" s="147">
        <v>-0.21555364088008858</v>
      </c>
      <c r="F21" s="147">
        <v>-0.29011152704179582</v>
      </c>
      <c r="G21" s="147">
        <v>-0.2371905324356294</v>
      </c>
      <c r="H21" s="147">
        <v>-0.11986152263906845</v>
      </c>
    </row>
    <row r="22" spans="2:8" x14ac:dyDescent="0.2">
      <c r="B22" s="21" t="s">
        <v>68</v>
      </c>
      <c r="C22" s="147" t="s">
        <v>274</v>
      </c>
      <c r="D22" s="147" t="s">
        <v>274</v>
      </c>
      <c r="E22" s="147" t="s">
        <v>274</v>
      </c>
      <c r="F22" s="147" t="s">
        <v>274</v>
      </c>
      <c r="G22" s="147" t="s">
        <v>274</v>
      </c>
      <c r="H22" s="147" t="s">
        <v>274</v>
      </c>
    </row>
    <row r="23" spans="2:8" x14ac:dyDescent="0.2">
      <c r="B23" s="21" t="s">
        <v>253</v>
      </c>
      <c r="C23" s="147">
        <v>0.11601488969405929</v>
      </c>
      <c r="D23" s="147">
        <v>-0.19669760120120766</v>
      </c>
      <c r="E23" s="147">
        <v>-0.50679948239394434</v>
      </c>
      <c r="F23" s="147">
        <v>-0.57554948688441754</v>
      </c>
      <c r="G23" s="147">
        <v>1.215313120491095</v>
      </c>
      <c r="H23" s="239">
        <v>2.3980999910798264</v>
      </c>
    </row>
    <row r="24" spans="2:8" x14ac:dyDescent="0.2">
      <c r="B24" s="21" t="s">
        <v>254</v>
      </c>
      <c r="C24" s="147">
        <v>2.9582469085706452E-2</v>
      </c>
      <c r="D24" s="147">
        <v>4.4659886149144588E-2</v>
      </c>
      <c r="E24" s="147">
        <v>-5.5697299893614882E-2</v>
      </c>
      <c r="F24" s="147">
        <v>0.17304012746427644</v>
      </c>
      <c r="G24" s="147">
        <v>9.7743593850172547E-2</v>
      </c>
      <c r="H24" s="147">
        <v>0.13165035694468302</v>
      </c>
    </row>
    <row r="25" spans="2:8" x14ac:dyDescent="0.2">
      <c r="B25" s="21" t="s">
        <v>71</v>
      </c>
      <c r="C25" s="147" t="s">
        <v>274</v>
      </c>
      <c r="D25" s="147" t="s">
        <v>274</v>
      </c>
      <c r="E25" s="147" t="s">
        <v>274</v>
      </c>
      <c r="F25" s="147" t="s">
        <v>274</v>
      </c>
      <c r="G25" s="147" t="s">
        <v>274</v>
      </c>
      <c r="H25" s="147" t="s">
        <v>274</v>
      </c>
    </row>
    <row r="26" spans="2:8" x14ac:dyDescent="0.2">
      <c r="B26" s="21" t="s">
        <v>255</v>
      </c>
      <c r="C26" s="147" t="s">
        <v>274</v>
      </c>
      <c r="D26" s="147" t="s">
        <v>274</v>
      </c>
      <c r="E26" s="147" t="s">
        <v>274</v>
      </c>
      <c r="F26" s="147" t="s">
        <v>274</v>
      </c>
      <c r="G26" s="147" t="s">
        <v>274</v>
      </c>
      <c r="H26" s="147" t="s">
        <v>274</v>
      </c>
    </row>
  </sheetData>
  <mergeCells count="2">
    <mergeCell ref="I4:J4"/>
    <mergeCell ref="K4:L4"/>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941D16-02DC-4DFE-AC93-0F17B5F0735F}">
  <dimension ref="A1:Q224"/>
  <sheetViews>
    <sheetView showGridLines="0" workbookViewId="0">
      <pane xSplit="2" ySplit="7" topLeftCell="C8" activePane="bottomRight" state="frozen"/>
      <selection activeCell="P28" sqref="P28"/>
      <selection pane="topRight" activeCell="P28" sqref="P28"/>
      <selection pane="bottomLeft" activeCell="P28" sqref="P28"/>
      <selection pane="bottomRight" activeCell="N193" sqref="N193"/>
    </sheetView>
  </sheetViews>
  <sheetFormatPr defaultRowHeight="12.75" x14ac:dyDescent="0.2"/>
  <cols>
    <col min="1" max="1" width="3.28515625" style="21" customWidth="1"/>
    <col min="2" max="2" width="37.28515625" style="21" bestFit="1" customWidth="1"/>
    <col min="3" max="3" width="12.42578125" style="21" bestFit="1" customWidth="1"/>
    <col min="4" max="4" width="5.28515625" style="21" bestFit="1" customWidth="1"/>
    <col min="5" max="5" width="13.5703125" style="21" bestFit="1" customWidth="1"/>
    <col min="6" max="6" width="5.28515625" style="21" bestFit="1" customWidth="1"/>
    <col min="7" max="7" width="10.5703125" style="29" bestFit="1" customWidth="1"/>
    <col min="8" max="8" width="6.85546875" style="21" bestFit="1" customWidth="1"/>
    <col min="9" max="9" width="5.7109375" style="21" customWidth="1"/>
    <col min="10" max="10" width="5.5703125" style="21" customWidth="1"/>
    <col min="11" max="11" width="37.28515625" style="21" bestFit="1" customWidth="1"/>
    <col min="12" max="12" width="13.5703125" style="21" bestFit="1" customWidth="1"/>
    <col min="13" max="13" width="5.28515625" style="21" bestFit="1" customWidth="1"/>
    <col min="14" max="14" width="13.5703125" style="21" bestFit="1" customWidth="1"/>
    <col min="15" max="15" width="5.28515625" style="21" bestFit="1" customWidth="1"/>
    <col min="16" max="16" width="10.5703125" style="29" bestFit="1" customWidth="1"/>
    <col min="17" max="17" width="6.85546875" style="21" bestFit="1" customWidth="1"/>
    <col min="18" max="16384" width="9.140625" style="21"/>
  </cols>
  <sheetData>
    <row r="1" spans="1:17" x14ac:dyDescent="0.2">
      <c r="A1" s="189">
        <f>'2022 IR Data Book'!$A$5</f>
        <v>1</v>
      </c>
    </row>
    <row r="2" spans="1:17" ht="18.75" x14ac:dyDescent="0.3">
      <c r="B2" s="149" t="s">
        <v>51</v>
      </c>
      <c r="I2" s="171"/>
      <c r="K2" s="149" t="s">
        <v>51</v>
      </c>
    </row>
    <row r="3" spans="1:17" x14ac:dyDescent="0.2">
      <c r="B3" s="60" t="s">
        <v>256</v>
      </c>
      <c r="I3" s="171"/>
      <c r="K3" s="60" t="s">
        <v>262</v>
      </c>
    </row>
    <row r="4" spans="1:17" x14ac:dyDescent="0.2">
      <c r="B4" s="52"/>
      <c r="I4" s="171"/>
      <c r="K4" s="52" t="s">
        <v>52</v>
      </c>
    </row>
    <row r="5" spans="1:17" x14ac:dyDescent="0.2">
      <c r="C5" s="169" t="s">
        <v>53</v>
      </c>
      <c r="D5" s="150"/>
      <c r="E5" s="169" t="s">
        <v>53</v>
      </c>
      <c r="I5" s="171"/>
      <c r="L5" s="169" t="s">
        <v>53</v>
      </c>
      <c r="M5" s="150"/>
      <c r="N5" s="169" t="s">
        <v>53</v>
      </c>
    </row>
    <row r="6" spans="1:17" x14ac:dyDescent="0.2">
      <c r="B6" s="151"/>
      <c r="C6" s="169" t="s">
        <v>190</v>
      </c>
      <c r="D6" s="150"/>
      <c r="E6" s="169" t="s">
        <v>187</v>
      </c>
      <c r="G6" s="197" t="s">
        <v>56</v>
      </c>
      <c r="H6" s="169" t="s">
        <v>57</v>
      </c>
      <c r="I6" s="171"/>
      <c r="K6" s="151"/>
      <c r="L6" s="169" t="s">
        <v>263</v>
      </c>
      <c r="M6" s="150"/>
      <c r="N6" s="169" t="s">
        <v>264</v>
      </c>
      <c r="P6" s="197" t="s">
        <v>56</v>
      </c>
      <c r="Q6" s="169" t="s">
        <v>57</v>
      </c>
    </row>
    <row r="7" spans="1:17" ht="6.75" customHeight="1" x14ac:dyDescent="0.2">
      <c r="H7" s="152"/>
      <c r="I7" s="171"/>
      <c r="Q7" s="152"/>
    </row>
    <row r="8" spans="1:17" x14ac:dyDescent="0.2">
      <c r="B8" s="21" t="s">
        <v>58</v>
      </c>
      <c r="C8" s="91">
        <f>50302.8089916639*('2022 IR Data Book'!$A$5)</f>
        <v>50302.8089916639</v>
      </c>
      <c r="D8" s="153">
        <f>C8/$C$14</f>
        <v>0.25296781789599443</v>
      </c>
      <c r="E8" s="91">
        <f>62291.7013168462*('2022 IR Data Book'!$A$5)</f>
        <v>62291.7013168462</v>
      </c>
      <c r="F8" s="153">
        <f>E8/$E$14</f>
        <v>0.314536998774682</v>
      </c>
      <c r="G8" s="155">
        <f>C8-E8</f>
        <v>-11988.8923251823</v>
      </c>
      <c r="H8" s="154">
        <f>(C8/E8)-1</f>
        <v>-0.19246371622121705</v>
      </c>
      <c r="I8" s="171"/>
      <c r="K8" s="21" t="s">
        <v>58</v>
      </c>
      <c r="L8" s="91">
        <f>97912.0050747642*('2022 IR Data Book'!$A$5)</f>
        <v>97912.005074764194</v>
      </c>
      <c r="M8" s="153">
        <f>L8/$L$14</f>
        <v>0.25213880359213475</v>
      </c>
      <c r="N8" s="91">
        <f>119579.716572314*('2022 IR Data Book'!$A$5)</f>
        <v>119579.71657231401</v>
      </c>
      <c r="O8" s="153">
        <f>N8/$N$14</f>
        <v>0.30972644311595338</v>
      </c>
      <c r="P8" s="155">
        <f>L8-N8</f>
        <v>-21667.711497549812</v>
      </c>
      <c r="Q8" s="154">
        <f>(L8/N8)-1</f>
        <v>-0.18119888655570271</v>
      </c>
    </row>
    <row r="9" spans="1:17" x14ac:dyDescent="0.2">
      <c r="B9" s="21" t="s">
        <v>59</v>
      </c>
      <c r="C9" s="91">
        <f>43926.6708397523*('2022 IR Data Book'!$A$5)</f>
        <v>43926.670839752303</v>
      </c>
      <c r="D9" s="153">
        <f>C9/$C$14</f>
        <v>0.22090285398593185</v>
      </c>
      <c r="E9" s="91">
        <f>48004.7813959414*('2022 IR Data Book'!$A$5)</f>
        <v>48004.781395941398</v>
      </c>
      <c r="F9" s="153">
        <f>E9/$E$14</f>
        <v>0.24239633125946811</v>
      </c>
      <c r="G9" s="155">
        <f t="shared" ref="G9:G12" si="0">C9-E9</f>
        <v>-4078.1105561890945</v>
      </c>
      <c r="H9" s="154">
        <f>(C9/E9)-1</f>
        <v>-8.4952174295993776E-2</v>
      </c>
      <c r="I9" s="171"/>
      <c r="K9" s="21" t="s">
        <v>59</v>
      </c>
      <c r="L9" s="91">
        <f>90031.8747218314*('2022 IR Data Book'!$A$5)</f>
        <v>90031.874721831395</v>
      </c>
      <c r="M9" s="153">
        <f t="shared" ref="M9:M12" si="1">L9/$L$14</f>
        <v>0.23184622927684639</v>
      </c>
      <c r="N9" s="91">
        <f>98431.6955917968*('2022 IR Data Book'!$A$5)</f>
        <v>98431.695591796801</v>
      </c>
      <c r="O9" s="153">
        <f t="shared" ref="O9:O12" si="2">N9/$N$14</f>
        <v>0.2549504200161154</v>
      </c>
      <c r="P9" s="155">
        <f t="shared" ref="P9:P12" si="3">L9-N9</f>
        <v>-8399.820869965406</v>
      </c>
      <c r="Q9" s="154">
        <f>(L9/N9)-1</f>
        <v>-8.5336545504611228E-2</v>
      </c>
    </row>
    <row r="10" spans="1:17" x14ac:dyDescent="0.2">
      <c r="B10" s="21" t="s">
        <v>60</v>
      </c>
      <c r="C10" s="91">
        <f>71496.4519839392*('2022 IR Data Book'!$A$5)</f>
        <v>71496.451983939201</v>
      </c>
      <c r="D10" s="153">
        <f>C10/$C$14</f>
        <v>0.35954853830687816</v>
      </c>
      <c r="E10" s="91">
        <f>56125.2258377321*('2022 IR Data Book'!$A$5)</f>
        <v>56125.225837732098</v>
      </c>
      <c r="F10" s="153">
        <f>E10/$E$14</f>
        <v>0.28339987056634269</v>
      </c>
      <c r="G10" s="85">
        <f t="shared" si="0"/>
        <v>15371.226146207104</v>
      </c>
      <c r="H10" s="86">
        <f>(C10/E10)-1</f>
        <v>0.27387375136178549</v>
      </c>
      <c r="I10" s="171"/>
      <c r="K10" s="21" t="s">
        <v>60</v>
      </c>
      <c r="L10" s="91">
        <f>132121.857522207*('2022 IR Data Book'!$A$5)</f>
        <v>132121.85752220699</v>
      </c>
      <c r="M10" s="153">
        <f t="shared" si="1"/>
        <v>0.34023455099895461</v>
      </c>
      <c r="N10" s="91">
        <f>105131.641652999*('2022 IR Data Book'!$A$5)</f>
        <v>105131.64165299899</v>
      </c>
      <c r="O10" s="153">
        <f t="shared" si="2"/>
        <v>0.27230411947358135</v>
      </c>
      <c r="P10" s="85">
        <f t="shared" si="3"/>
        <v>26990.215869207997</v>
      </c>
      <c r="Q10" s="86">
        <f>(L10/N10)-1</f>
        <v>0.25672780758330394</v>
      </c>
    </row>
    <row r="11" spans="1:17" x14ac:dyDescent="0.2">
      <c r="B11" s="21" t="s">
        <v>61</v>
      </c>
      <c r="C11" s="91">
        <f>29775.1966810805*('2022 IR Data Book'!$A$5)</f>
        <v>29775.196681080499</v>
      </c>
      <c r="D11" s="153">
        <f>C11/$C$14</f>
        <v>0.14973649946835391</v>
      </c>
      <c r="E11" s="91">
        <f>29702.3402000822*('2022 IR Data Book'!$A$5)</f>
        <v>29702.340200082199</v>
      </c>
      <c r="F11" s="153">
        <f>E11/$E$14</f>
        <v>0.14997960796732737</v>
      </c>
      <c r="G11" s="155">
        <f t="shared" si="0"/>
        <v>72.856480998299958</v>
      </c>
      <c r="H11" s="154">
        <f>(C11/E11)-1</f>
        <v>2.4528868940130177E-3</v>
      </c>
      <c r="I11" s="171"/>
      <c r="K11" s="21" t="s">
        <v>61</v>
      </c>
      <c r="L11" s="91">
        <f>62477.4167503422*('2022 IR Data Book'!$A$5)</f>
        <v>62477.4167503422</v>
      </c>
      <c r="M11" s="153">
        <f t="shared" si="1"/>
        <v>0.16088916878915646</v>
      </c>
      <c r="N11" s="91">
        <f>59462.2464520369*('2022 IR Data Book'!$A$5)</f>
        <v>59462.246452036903</v>
      </c>
      <c r="O11" s="153">
        <f t="shared" si="2"/>
        <v>0.15401466587467774</v>
      </c>
      <c r="P11" s="155">
        <f t="shared" si="3"/>
        <v>3015.1702983052965</v>
      </c>
      <c r="Q11" s="154">
        <f>(L11/N11)-1</f>
        <v>5.0707305529355873E-2</v>
      </c>
    </row>
    <row r="12" spans="1:17" x14ac:dyDescent="0.2">
      <c r="B12" s="21" t="s">
        <v>62</v>
      </c>
      <c r="C12" s="91">
        <f>3349.49768220894*('2022 IR Data Book'!$A$5)</f>
        <v>3349.4976822089402</v>
      </c>
      <c r="D12" s="153">
        <f>C12/$C$14</f>
        <v>1.6844290342841538E-2</v>
      </c>
      <c r="E12" s="91">
        <f>1918.47584749391*('2022 IR Data Book'!$A$5)</f>
        <v>1918.4758474939099</v>
      </c>
      <c r="F12" s="153">
        <f>E12/$E$14</f>
        <v>9.6871914321796926E-3</v>
      </c>
      <c r="G12" s="155">
        <f t="shared" si="0"/>
        <v>1431.0218347150303</v>
      </c>
      <c r="H12" s="154">
        <f>(C12/E12)-1</f>
        <v>0.74591600232255351</v>
      </c>
      <c r="I12" s="171"/>
      <c r="K12" s="21" t="s">
        <v>62</v>
      </c>
      <c r="L12" s="91">
        <f>5782.65568264887*('2022 IR Data Book'!$A$5)</f>
        <v>5782.6556826488704</v>
      </c>
      <c r="M12" s="153">
        <f t="shared" si="1"/>
        <v>1.4891247342907679E-2</v>
      </c>
      <c r="N12" s="91">
        <f>3476.41548395916*('2022 IR Data Book'!$A$5)</f>
        <v>3476.4154839591602</v>
      </c>
      <c r="O12" s="153">
        <f t="shared" si="2"/>
        <v>9.0043515196722816E-3</v>
      </c>
      <c r="P12" s="155">
        <f t="shared" si="3"/>
        <v>2306.2401986897103</v>
      </c>
      <c r="Q12" s="154">
        <f>(L12/N12)-1</f>
        <v>0.66339602079531046</v>
      </c>
    </row>
    <row r="13" spans="1:17" x14ac:dyDescent="0.2">
      <c r="C13" s="91"/>
      <c r="D13" s="153"/>
      <c r="E13" s="91"/>
      <c r="F13" s="153"/>
      <c r="G13" s="155"/>
      <c r="H13" s="154"/>
      <c r="I13" s="171"/>
      <c r="L13" s="91"/>
      <c r="M13" s="153"/>
      <c r="N13" s="91"/>
      <c r="O13" s="153"/>
      <c r="P13" s="155"/>
      <c r="Q13" s="154"/>
    </row>
    <row r="14" spans="1:17" ht="15.75" x14ac:dyDescent="0.25">
      <c r="B14" s="144" t="s">
        <v>63</v>
      </c>
      <c r="C14" s="92">
        <f>SUM(C8:C12)</f>
        <v>198850.62617864486</v>
      </c>
      <c r="D14" s="153">
        <f>C14/$C$14</f>
        <v>1</v>
      </c>
      <c r="E14" s="92">
        <f>SUM(E8:E12)</f>
        <v>198042.52459809583</v>
      </c>
      <c r="F14" s="153">
        <f>E14/$E$14</f>
        <v>1</v>
      </c>
      <c r="G14" s="156">
        <f>C14-E14</f>
        <v>808.1015805490315</v>
      </c>
      <c r="H14" s="157">
        <f>(C14/E14)-1</f>
        <v>4.080444753918222E-3</v>
      </c>
      <c r="I14" s="171"/>
      <c r="K14" s="144" t="s">
        <v>63</v>
      </c>
      <c r="L14" s="92">
        <f>SUM(L8:L12)</f>
        <v>388325.80975179368</v>
      </c>
      <c r="M14" s="153">
        <f>L14/$L$14</f>
        <v>1</v>
      </c>
      <c r="N14" s="92">
        <f>SUM(N8:N12)</f>
        <v>386081.71575310582</v>
      </c>
      <c r="O14" s="153">
        <f>N14/$N$14</f>
        <v>1</v>
      </c>
      <c r="P14" s="156">
        <f>L14-N14</f>
        <v>2244.0939986878657</v>
      </c>
      <c r="Q14" s="157">
        <f>(L14/N14)-1</f>
        <v>5.8124845262625957E-3</v>
      </c>
    </row>
    <row r="15" spans="1:17" x14ac:dyDescent="0.2">
      <c r="C15" s="91">
        <v>0</v>
      </c>
      <c r="D15" s="158"/>
      <c r="E15" s="91">
        <v>0</v>
      </c>
      <c r="F15" s="158"/>
      <c r="G15" s="198"/>
      <c r="H15" s="154"/>
      <c r="I15" s="171"/>
      <c r="L15" s="91"/>
      <c r="M15" s="158"/>
      <c r="N15" s="91">
        <v>0</v>
      </c>
      <c r="O15" s="158"/>
      <c r="P15" s="198"/>
      <c r="Q15" s="154"/>
    </row>
    <row r="16" spans="1:17" ht="15.75" x14ac:dyDescent="0.25">
      <c r="B16" s="144" t="s">
        <v>64</v>
      </c>
      <c r="C16" s="92">
        <f>57067.248912288*('2022 IR Data Book'!$A$5)</f>
        <v>57067.248912288</v>
      </c>
      <c r="D16" s="153">
        <f>C16/$C$14</f>
        <v>0.28698551273869016</v>
      </c>
      <c r="E16" s="92">
        <f>60157.0487340254*('2022 IR Data Book'!$A$5)</f>
        <v>60157.048734025397</v>
      </c>
      <c r="F16" s="153">
        <f>E16/$E$14</f>
        <v>0.30375824008559321</v>
      </c>
      <c r="G16" s="156">
        <f>C16-E16</f>
        <v>-3089.799821737397</v>
      </c>
      <c r="H16" s="157">
        <f>(C16/E16)-1</f>
        <v>-5.1362224157611935E-2</v>
      </c>
      <c r="I16" s="171"/>
      <c r="K16" s="144" t="s">
        <v>64</v>
      </c>
      <c r="L16" s="92">
        <f>112038.451193368*('2022 IR Data Book'!$A$5)</f>
        <v>112038.451193368</v>
      </c>
      <c r="M16" s="153">
        <f>L16/$L$14</f>
        <v>0.28851662284559365</v>
      </c>
      <c r="N16" s="92">
        <f>119957.187218173*('2022 IR Data Book'!$A$5)</f>
        <v>119957.187218173</v>
      </c>
      <c r="O16" s="153">
        <f>N16/$N$14</f>
        <v>0.31070413936640306</v>
      </c>
      <c r="P16" s="156">
        <f>L16-N16</f>
        <v>-7918.7360248049954</v>
      </c>
      <c r="Q16" s="157">
        <f>(L16/N16)-1</f>
        <v>-6.6013018548048641E-2</v>
      </c>
    </row>
    <row r="17" spans="2:17" ht="15.75" x14ac:dyDescent="0.25">
      <c r="B17" s="144"/>
      <c r="C17" s="92"/>
      <c r="D17" s="159"/>
      <c r="E17" s="92"/>
      <c r="F17" s="159"/>
      <c r="G17" s="199"/>
      <c r="H17" s="157"/>
      <c r="I17" s="171"/>
      <c r="K17" s="144"/>
      <c r="L17" s="92"/>
      <c r="M17" s="159"/>
      <c r="N17" s="92"/>
      <c r="O17" s="159"/>
      <c r="P17" s="199"/>
      <c r="Q17" s="157"/>
    </row>
    <row r="18" spans="2:17" ht="15.75" x14ac:dyDescent="0.25">
      <c r="B18" s="144"/>
      <c r="C18" s="92"/>
      <c r="D18" s="159"/>
      <c r="E18" s="92"/>
      <c r="F18" s="159"/>
      <c r="G18" s="199"/>
      <c r="H18" s="157"/>
      <c r="I18" s="171"/>
      <c r="K18" s="144"/>
      <c r="L18" s="92"/>
      <c r="M18" s="159"/>
      <c r="N18" s="92"/>
      <c r="O18" s="159"/>
      <c r="P18" s="199"/>
      <c r="Q18" s="157"/>
    </row>
    <row r="19" spans="2:17" x14ac:dyDescent="0.2">
      <c r="B19" s="74" t="s">
        <v>257</v>
      </c>
      <c r="C19" s="169" t="str">
        <f>$C$6</f>
        <v>Q2'22</v>
      </c>
      <c r="D19" s="150"/>
      <c r="E19" s="169" t="str">
        <f>$E$6</f>
        <v>Q2'21</v>
      </c>
      <c r="G19" s="197" t="s">
        <v>56</v>
      </c>
      <c r="H19" s="169" t="s">
        <v>57</v>
      </c>
      <c r="I19" s="171"/>
      <c r="K19" s="74" t="s">
        <v>257</v>
      </c>
      <c r="L19" s="169" t="str">
        <f>$L$6</f>
        <v>Jun YTD 2022</v>
      </c>
      <c r="M19" s="150"/>
      <c r="N19" s="169" t="str">
        <f>$N$6</f>
        <v>Jun YTD 2021</v>
      </c>
      <c r="P19" s="197" t="s">
        <v>56</v>
      </c>
      <c r="Q19" s="169" t="s">
        <v>57</v>
      </c>
    </row>
    <row r="20" spans="2:17" ht="15.75" x14ac:dyDescent="0.25">
      <c r="B20" s="160" t="s">
        <v>258</v>
      </c>
      <c r="C20" s="89">
        <v>4257862</v>
      </c>
      <c r="D20" s="90"/>
      <c r="E20" s="89">
        <v>4126321</v>
      </c>
      <c r="F20" s="161"/>
      <c r="G20" s="155">
        <f t="shared" ref="G20:G22" si="4">C20-E20</f>
        <v>131541</v>
      </c>
      <c r="H20" s="154">
        <f t="shared" ref="H20:H22" si="5">(C20/E20)-1</f>
        <v>3.1878518418707591E-2</v>
      </c>
      <c r="I20" s="172"/>
      <c r="K20" s="160" t="s">
        <v>258</v>
      </c>
      <c r="L20" s="89">
        <v>8602510</v>
      </c>
      <c r="M20" s="90"/>
      <c r="N20" s="89">
        <v>8303411</v>
      </c>
      <c r="O20" s="161"/>
      <c r="P20" s="155">
        <f t="shared" ref="P20:P22" si="6">L20-N20</f>
        <v>299099</v>
      </c>
      <c r="Q20" s="154">
        <f t="shared" ref="Q20:Q22" si="7">(L20/N20)-1</f>
        <v>3.6021220676659249E-2</v>
      </c>
    </row>
    <row r="21" spans="2:17" ht="15.75" x14ac:dyDescent="0.25">
      <c r="B21" s="144" t="s">
        <v>58</v>
      </c>
      <c r="C21" s="170">
        <v>349992</v>
      </c>
      <c r="D21" s="88"/>
      <c r="E21" s="170">
        <v>423291</v>
      </c>
      <c r="F21" s="159"/>
      <c r="G21" s="155">
        <f t="shared" si="4"/>
        <v>-73299</v>
      </c>
      <c r="H21" s="154">
        <f t="shared" si="5"/>
        <v>-0.17316456055054319</v>
      </c>
      <c r="I21" s="171"/>
      <c r="J21" s="162"/>
      <c r="K21" s="144" t="s">
        <v>58</v>
      </c>
      <c r="L21" s="170">
        <v>663876</v>
      </c>
      <c r="M21" s="88"/>
      <c r="N21" s="170">
        <v>773973</v>
      </c>
      <c r="O21" s="159"/>
      <c r="P21" s="155">
        <f t="shared" si="6"/>
        <v>-110097</v>
      </c>
      <c r="Q21" s="154">
        <f t="shared" si="7"/>
        <v>-0.14224914822610091</v>
      </c>
    </row>
    <row r="22" spans="2:17" x14ac:dyDescent="0.2">
      <c r="B22" s="163"/>
      <c r="C22" s="164">
        <f>C21+C20</f>
        <v>4607854</v>
      </c>
      <c r="D22" s="163"/>
      <c r="E22" s="164">
        <f>E21+E20</f>
        <v>4549612</v>
      </c>
      <c r="F22" s="163"/>
      <c r="G22" s="155">
        <f t="shared" si="4"/>
        <v>58242</v>
      </c>
      <c r="H22" s="154">
        <f t="shared" si="5"/>
        <v>1.2801531207496275E-2</v>
      </c>
      <c r="I22" s="173"/>
      <c r="J22" s="165"/>
      <c r="K22" s="163"/>
      <c r="L22" s="164">
        <f>L21+L20</f>
        <v>9266386</v>
      </c>
      <c r="M22" s="163"/>
      <c r="N22" s="164">
        <f>N21+N20</f>
        <v>9077384</v>
      </c>
      <c r="O22" s="163"/>
      <c r="P22" s="155">
        <f t="shared" si="6"/>
        <v>189002</v>
      </c>
      <c r="Q22" s="154">
        <f t="shared" si="7"/>
        <v>2.0821196943965337E-2</v>
      </c>
    </row>
    <row r="23" spans="2:17" x14ac:dyDescent="0.2">
      <c r="I23" s="171"/>
    </row>
    <row r="24" spans="2:17" ht="18.75" x14ac:dyDescent="0.3">
      <c r="B24" s="149" t="s">
        <v>259</v>
      </c>
      <c r="I24" s="171"/>
      <c r="K24" s="149" t="s">
        <v>259</v>
      </c>
    </row>
    <row r="25" spans="2:17" x14ac:dyDescent="0.2">
      <c r="B25" s="60" t="str">
        <f>$B$3</f>
        <v xml:space="preserve">Q2'22 vs Q2'21 </v>
      </c>
      <c r="I25" s="171"/>
      <c r="K25" s="60" t="str">
        <f>$B$3</f>
        <v xml:space="preserve">Q2'22 vs Q2'21 </v>
      </c>
    </row>
    <row r="26" spans="2:17" x14ac:dyDescent="0.2">
      <c r="B26" s="52" t="s">
        <v>52</v>
      </c>
      <c r="I26" s="171"/>
      <c r="K26" s="52" t="s">
        <v>52</v>
      </c>
    </row>
    <row r="27" spans="2:17" x14ac:dyDescent="0.2">
      <c r="C27" s="169" t="s">
        <v>53</v>
      </c>
      <c r="D27" s="150"/>
      <c r="E27" s="169" t="s">
        <v>53</v>
      </c>
      <c r="I27" s="171"/>
      <c r="L27" s="169" t="s">
        <v>53</v>
      </c>
      <c r="M27" s="150"/>
      <c r="N27" s="169" t="s">
        <v>53</v>
      </c>
    </row>
    <row r="28" spans="2:17" x14ac:dyDescent="0.2">
      <c r="B28" s="151"/>
      <c r="C28" s="169" t="str">
        <f>$C$6</f>
        <v>Q2'22</v>
      </c>
      <c r="D28" s="150"/>
      <c r="E28" s="169" t="str">
        <f>$E$6</f>
        <v>Q2'21</v>
      </c>
      <c r="G28" s="197" t="s">
        <v>56</v>
      </c>
      <c r="H28" s="169" t="s">
        <v>57</v>
      </c>
      <c r="I28" s="171"/>
      <c r="K28" s="151"/>
      <c r="L28" s="169" t="str">
        <f>$L$6</f>
        <v>Jun YTD 2022</v>
      </c>
      <c r="M28" s="150"/>
      <c r="N28" s="169" t="str">
        <f>$N$6</f>
        <v>Jun YTD 2021</v>
      </c>
      <c r="P28" s="197" t="s">
        <v>56</v>
      </c>
      <c r="Q28" s="169" t="s">
        <v>57</v>
      </c>
    </row>
    <row r="29" spans="2:17" x14ac:dyDescent="0.2">
      <c r="H29" s="152"/>
      <c r="I29" s="171"/>
      <c r="Q29" s="152"/>
    </row>
    <row r="30" spans="2:17" x14ac:dyDescent="0.2">
      <c r="B30" s="21" t="s">
        <v>58</v>
      </c>
      <c r="C30" s="91">
        <f>155079.187105402*('2022 IR Data Book'!$A$5)</f>
        <v>155079.187105402</v>
      </c>
      <c r="D30" s="153">
        <f>C30/$C$36</f>
        <v>0.26356833257020607</v>
      </c>
      <c r="E30" s="91">
        <f>186334.412236229*('2022 IR Data Book'!$A$5)</f>
        <v>186334.41223622899</v>
      </c>
      <c r="F30" s="153">
        <f>E30/$E$36</f>
        <v>0.33838561870234007</v>
      </c>
      <c r="G30" s="155">
        <f>C30-E30</f>
        <v>-31255.225130826992</v>
      </c>
      <c r="H30" s="154">
        <f>(C30/E30)-1</f>
        <v>-0.16773726739858763</v>
      </c>
      <c r="I30" s="171"/>
      <c r="K30" s="21" t="s">
        <v>58</v>
      </c>
      <c r="L30" s="91">
        <f>304171.792598373*('2022 IR Data Book'!$A$5)</f>
        <v>304171.79259837302</v>
      </c>
      <c r="M30" s="153">
        <f>L30/$L$36</f>
        <v>0.26370514328466005</v>
      </c>
      <c r="N30" s="91">
        <f>367650.220168718*('2022 IR Data Book'!$A$5)</f>
        <v>367650.22016871802</v>
      </c>
      <c r="O30" s="153">
        <f>N30/$N$36</f>
        <v>0.34868047348920045</v>
      </c>
      <c r="P30" s="155">
        <f>L30-N30</f>
        <v>-63478.427570344997</v>
      </c>
      <c r="Q30" s="154">
        <f>(L30/N30)-1</f>
        <v>-0.17265983831374876</v>
      </c>
    </row>
    <row r="31" spans="2:17" x14ac:dyDescent="0.2">
      <c r="B31" s="21" t="s">
        <v>59</v>
      </c>
      <c r="C31" s="91">
        <f>147929.269710899*('2022 IR Data Book'!$A$5)</f>
        <v>147929.26971089901</v>
      </c>
      <c r="D31" s="153">
        <f t="shared" ref="D31:D34" si="8">C31/$C$36</f>
        <v>0.25141652908929768</v>
      </c>
      <c r="E31" s="91">
        <f>143631.985175313*('2022 IR Data Book'!$A$5)</f>
        <v>143631.98517531299</v>
      </c>
      <c r="F31" s="153">
        <f t="shared" ref="F31:F34" si="9">E31/$E$36</f>
        <v>0.26083747808953428</v>
      </c>
      <c r="G31" s="155">
        <f t="shared" ref="G31:G34" si="10">C31-E31</f>
        <v>4297.284535586019</v>
      </c>
      <c r="H31" s="154">
        <f>(C31/E31)-1</f>
        <v>2.9918715739679191E-2</v>
      </c>
      <c r="I31" s="171"/>
      <c r="K31" s="21" t="s">
        <v>59</v>
      </c>
      <c r="L31" s="91">
        <f>294374.445183355*('2022 IR Data Book'!$A$5)</f>
        <v>294374.44518335501</v>
      </c>
      <c r="M31" s="153">
        <f>L31/$L$36</f>
        <v>0.25521122318175848</v>
      </c>
      <c r="N31" s="91">
        <f>282021.6941243*('2022 IR Data Book'!$A$5)</f>
        <v>282021.69412429997</v>
      </c>
      <c r="O31" s="153">
        <f>N31/$N$36</f>
        <v>0.26747014539080199</v>
      </c>
      <c r="P31" s="155">
        <f t="shared" ref="P31:P34" si="11">L31-N31</f>
        <v>12352.751059055037</v>
      </c>
      <c r="Q31" s="154">
        <f>(L31/N31)-1</f>
        <v>4.3800712201986114E-2</v>
      </c>
    </row>
    <row r="32" spans="2:17" x14ac:dyDescent="0.2">
      <c r="B32" s="21" t="s">
        <v>60</v>
      </c>
      <c r="C32" s="91">
        <f>220381.788687397*('2022 IR Data Book'!$A$5)</f>
        <v>220381.788687397</v>
      </c>
      <c r="D32" s="153">
        <f t="shared" si="8"/>
        <v>0.37455484296353642</v>
      </c>
      <c r="E32" s="91">
        <f>158639.621495541*('2022 IR Data Book'!$A$5)</f>
        <v>158639.62149554101</v>
      </c>
      <c r="F32" s="153">
        <f t="shared" si="9"/>
        <v>0.28809153299294027</v>
      </c>
      <c r="G32" s="85">
        <f t="shared" si="10"/>
        <v>61742.167191855988</v>
      </c>
      <c r="H32" s="86">
        <f>(C32/E32)-1</f>
        <v>0.38919764564359749</v>
      </c>
      <c r="I32" s="171"/>
      <c r="K32" s="21" t="s">
        <v>60</v>
      </c>
      <c r="L32" s="91">
        <f>426484.480322122*('2022 IR Data Book'!$A$5)</f>
        <v>426484.48032212199</v>
      </c>
      <c r="M32" s="153">
        <f>L32/$L$36</f>
        <v>0.36974549819788421</v>
      </c>
      <c r="N32" s="91">
        <f>286087.958647504*('2022 IR Data Book'!$A$5)</f>
        <v>286087.95864750398</v>
      </c>
      <c r="O32" s="153">
        <f>N32/$N$36</f>
        <v>0.27132660177652768</v>
      </c>
      <c r="P32" s="85">
        <f t="shared" si="11"/>
        <v>140396.52167461801</v>
      </c>
      <c r="Q32" s="86">
        <f>(L32/N32)-1</f>
        <v>0.4907460011192013</v>
      </c>
    </row>
    <row r="33" spans="2:17" x14ac:dyDescent="0.2">
      <c r="B33" s="21" t="s">
        <v>61</v>
      </c>
      <c r="C33" s="91">
        <f>62883.3131435253*('2022 IR Data Book'!$A$5)</f>
        <v>62883.313143525302</v>
      </c>
      <c r="D33" s="153">
        <f t="shared" si="8"/>
        <v>0.10687475412457684</v>
      </c>
      <c r="E33" s="91">
        <f>59735.3627394981*('2022 IR Data Book'!$A$5)</f>
        <v>59735.362739498101</v>
      </c>
      <c r="F33" s="153">
        <f t="shared" si="9"/>
        <v>0.10848016443354337</v>
      </c>
      <c r="G33" s="155">
        <f t="shared" si="10"/>
        <v>3147.9504040272004</v>
      </c>
      <c r="H33" s="154">
        <f>(C33/E33)-1</f>
        <v>5.2698272173472782E-2</v>
      </c>
      <c r="I33" s="171"/>
      <c r="K33" s="21" t="s">
        <v>61</v>
      </c>
      <c r="L33" s="91">
        <f>124529.828928747*('2022 IR Data Book'!$A$5)</f>
        <v>124529.828928747</v>
      </c>
      <c r="M33" s="153">
        <f>L33/$L$36</f>
        <v>0.1079625303199304</v>
      </c>
      <c r="N33" s="91">
        <f>114202.812410595*('2022 IR Data Book'!$A$5)</f>
        <v>114202.812410595</v>
      </c>
      <c r="O33" s="153">
        <f>N33/$N$36</f>
        <v>0.10831025937329973</v>
      </c>
      <c r="P33" s="155">
        <f t="shared" si="11"/>
        <v>10327.016518151999</v>
      </c>
      <c r="Q33" s="154">
        <f>(L33/N33)-1</f>
        <v>9.0426989494997168E-2</v>
      </c>
    </row>
    <row r="34" spans="2:17" x14ac:dyDescent="0.2">
      <c r="B34" s="21" t="s">
        <v>62</v>
      </c>
      <c r="C34" s="91">
        <f>2109.67234694001*('2022 IR Data Book'!$A$5)</f>
        <v>2109.6723469400099</v>
      </c>
      <c r="D34" s="153">
        <f t="shared" si="8"/>
        <v>3.5855412523830709E-3</v>
      </c>
      <c r="E34" s="91">
        <f>2315.62603239333*('2022 IR Data Book'!$A$5)</f>
        <v>2315.6260323933302</v>
      </c>
      <c r="F34" s="153">
        <f t="shared" si="9"/>
        <v>4.2052057816420428E-3</v>
      </c>
      <c r="G34" s="155">
        <f t="shared" si="10"/>
        <v>-205.9536854533203</v>
      </c>
      <c r="H34" s="154">
        <f>(C34/E34)-1</f>
        <v>-8.8940823160661875E-2</v>
      </c>
      <c r="I34" s="171"/>
      <c r="K34" s="21" t="s">
        <v>62</v>
      </c>
      <c r="L34" s="91">
        <f>3893.6056231618*('2022 IR Data Book'!$A$5)</f>
        <v>3893.6056231617999</v>
      </c>
      <c r="M34" s="153">
        <f>L34/$L$36</f>
        <v>3.3756050157667792E-3</v>
      </c>
      <c r="N34" s="91">
        <f>4441.6995279381*('2022 IR Data Book'!$A$5)</f>
        <v>4441.6995279380999</v>
      </c>
      <c r="O34" s="153">
        <f>N34/$N$36</f>
        <v>4.2125199701702519E-3</v>
      </c>
      <c r="P34" s="155">
        <f t="shared" si="11"/>
        <v>-548.09390477629995</v>
      </c>
      <c r="Q34" s="154">
        <f>(L34/N34)-1</f>
        <v>-0.12339733953834853</v>
      </c>
    </row>
    <row r="35" spans="2:17" x14ac:dyDescent="0.2">
      <c r="C35" s="91"/>
      <c r="D35" s="153"/>
      <c r="E35" s="91"/>
      <c r="F35" s="153"/>
      <c r="G35" s="155"/>
      <c r="H35" s="154"/>
      <c r="I35" s="171"/>
      <c r="L35" s="91"/>
      <c r="M35" s="153"/>
      <c r="N35" s="91"/>
      <c r="O35" s="153"/>
      <c r="P35" s="155"/>
      <c r="Q35" s="154"/>
    </row>
    <row r="36" spans="2:17" ht="15.75" x14ac:dyDescent="0.25">
      <c r="B36" s="144" t="s">
        <v>63</v>
      </c>
      <c r="C36" s="92">
        <f>SUM(C30:C34)</f>
        <v>588383.23099416331</v>
      </c>
      <c r="D36" s="153">
        <f>C36/$C$36</f>
        <v>1</v>
      </c>
      <c r="E36" s="92">
        <f>SUM(E30:E34)</f>
        <v>550657.00767897442</v>
      </c>
      <c r="F36" s="153">
        <f>E36/$E$36</f>
        <v>1</v>
      </c>
      <c r="G36" s="156">
        <f>C36-E36</f>
        <v>37726.223315188894</v>
      </c>
      <c r="H36" s="157">
        <f>(C36/E36)-1</f>
        <v>6.8511292490774478E-2</v>
      </c>
      <c r="I36" s="171"/>
      <c r="K36" s="144" t="s">
        <v>63</v>
      </c>
      <c r="L36" s="92">
        <f>SUM(L30:L34)</f>
        <v>1153454.1526557589</v>
      </c>
      <c r="M36" s="153">
        <f>L36/$L$36</f>
        <v>1</v>
      </c>
      <c r="N36" s="92">
        <f>SUM(N30:N34)</f>
        <v>1054404.384879055</v>
      </c>
      <c r="O36" s="153">
        <f>N36/$N$36</f>
        <v>1</v>
      </c>
      <c r="P36" s="156">
        <f>L36-N36</f>
        <v>99049.767776703928</v>
      </c>
      <c r="Q36" s="157">
        <f>(L36/N36)-1</f>
        <v>9.3939070433650906E-2</v>
      </c>
    </row>
    <row r="37" spans="2:17" x14ac:dyDescent="0.2">
      <c r="C37" s="91">
        <v>0</v>
      </c>
      <c r="D37" s="158"/>
      <c r="E37" s="91">
        <v>0</v>
      </c>
      <c r="F37" s="158"/>
      <c r="G37" s="198"/>
      <c r="H37" s="154"/>
      <c r="I37" s="171"/>
      <c r="L37" s="91">
        <v>0</v>
      </c>
      <c r="M37" s="158"/>
      <c r="N37" s="91">
        <v>0</v>
      </c>
      <c r="O37" s="158"/>
      <c r="P37" s="198"/>
      <c r="Q37" s="154"/>
    </row>
    <row r="38" spans="2:17" ht="15.75" x14ac:dyDescent="0.25">
      <c r="B38" s="144" t="s">
        <v>64</v>
      </c>
      <c r="C38" s="92">
        <f>124958.451598334*('2022 IR Data Book'!$A$5)</f>
        <v>124958.451598334</v>
      </c>
      <c r="D38" s="153">
        <f>C38/$C$36</f>
        <v>0.21237595671650536</v>
      </c>
      <c r="E38" s="92">
        <f>105472.451237613*('2022 IR Data Book'!$A$5)</f>
        <v>105472.451237613</v>
      </c>
      <c r="F38" s="153">
        <f>E38/$E$36</f>
        <v>0.19153928809910289</v>
      </c>
      <c r="G38" s="156">
        <f>C38-E38</f>
        <v>19486.000360720995</v>
      </c>
      <c r="H38" s="157">
        <f>(C38/E38)-1</f>
        <v>0.18474966810832982</v>
      </c>
      <c r="I38" s="174"/>
      <c r="K38" s="144" t="s">
        <v>64</v>
      </c>
      <c r="L38" s="92">
        <f>234451.679578434*('2022 IR Data Book'!$A$5)</f>
        <v>234451.67957843401</v>
      </c>
      <c r="M38" s="153">
        <f>L38/$L$36</f>
        <v>0.2032605102150121</v>
      </c>
      <c r="N38" s="92">
        <f>202788.321011838*('2022 IR Data Book'!$A$5)</f>
        <v>202788.32101183801</v>
      </c>
      <c r="O38" s="153">
        <f>N38/$N$36</f>
        <v>0.19232499780916482</v>
      </c>
      <c r="P38" s="156">
        <f>L38-N38</f>
        <v>31663.358566595998</v>
      </c>
      <c r="Q38" s="157">
        <f>(L38/N38)-1</f>
        <v>0.15613995129802172</v>
      </c>
    </row>
    <row r="39" spans="2:17" x14ac:dyDescent="0.2">
      <c r="I39" s="171"/>
    </row>
    <row r="40" spans="2:17" x14ac:dyDescent="0.2">
      <c r="B40" s="74" t="s">
        <v>257</v>
      </c>
      <c r="C40" s="169" t="str">
        <f>$C$6</f>
        <v>Q2'22</v>
      </c>
      <c r="D40" s="150"/>
      <c r="E40" s="169" t="str">
        <f>$E$6</f>
        <v>Q2'21</v>
      </c>
      <c r="G40" s="197" t="s">
        <v>56</v>
      </c>
      <c r="H40" s="169" t="s">
        <v>57</v>
      </c>
      <c r="I40" s="171"/>
      <c r="K40" s="74" t="s">
        <v>257</v>
      </c>
      <c r="L40" s="169" t="str">
        <f>$L$6</f>
        <v>Jun YTD 2022</v>
      </c>
      <c r="M40" s="150"/>
      <c r="N40" s="169" t="str">
        <f>$N$6</f>
        <v>Jun YTD 2021</v>
      </c>
      <c r="P40" s="197" t="s">
        <v>56</v>
      </c>
      <c r="Q40" s="169" t="s">
        <v>57</v>
      </c>
    </row>
    <row r="41" spans="2:17" ht="15.75" x14ac:dyDescent="0.25">
      <c r="B41" s="160" t="s">
        <v>258</v>
      </c>
      <c r="C41" s="87">
        <v>8081782</v>
      </c>
      <c r="D41" s="87"/>
      <c r="E41" s="87">
        <v>7866983</v>
      </c>
      <c r="F41" s="94"/>
      <c r="G41" s="155">
        <f t="shared" ref="G41:G43" si="12">C41-E41</f>
        <v>214799</v>
      </c>
      <c r="H41" s="154">
        <f t="shared" ref="H41:H43" si="13">(C41/E41)-1</f>
        <v>2.7303859688015075E-2</v>
      </c>
      <c r="I41" s="172"/>
      <c r="K41" s="160" t="s">
        <v>258</v>
      </c>
      <c r="L41" s="87">
        <v>16284897</v>
      </c>
      <c r="M41" s="87"/>
      <c r="N41" s="87">
        <v>15320067</v>
      </c>
      <c r="O41" s="94"/>
      <c r="P41" s="155">
        <f t="shared" ref="P41:P43" si="14">L41-N41</f>
        <v>964830</v>
      </c>
      <c r="Q41" s="154">
        <f t="shared" ref="Q41:Q43" si="15">(L41/N41)-1</f>
        <v>6.2978184103241741E-2</v>
      </c>
    </row>
    <row r="42" spans="2:17" ht="15.75" x14ac:dyDescent="0.25">
      <c r="B42" s="144" t="s">
        <v>58</v>
      </c>
      <c r="C42" s="170">
        <v>1621494</v>
      </c>
      <c r="D42" s="88"/>
      <c r="E42" s="170">
        <v>2344178</v>
      </c>
      <c r="F42" s="159"/>
      <c r="G42" s="155">
        <f t="shared" si="12"/>
        <v>-722684</v>
      </c>
      <c r="H42" s="154">
        <f t="shared" si="13"/>
        <v>-0.30828887567411689</v>
      </c>
      <c r="I42" s="171"/>
      <c r="J42" s="162"/>
      <c r="K42" s="144" t="s">
        <v>58</v>
      </c>
      <c r="L42" s="170">
        <v>3107734</v>
      </c>
      <c r="M42" s="88"/>
      <c r="N42" s="170">
        <v>4255561</v>
      </c>
      <c r="O42" s="159"/>
      <c r="P42" s="155">
        <f t="shared" si="14"/>
        <v>-1147827</v>
      </c>
      <c r="Q42" s="154">
        <f t="shared" si="15"/>
        <v>-0.26972401523559408</v>
      </c>
    </row>
    <row r="43" spans="2:17" x14ac:dyDescent="0.2">
      <c r="B43" s="163"/>
      <c r="C43" s="164">
        <f>C42+C41</f>
        <v>9703276</v>
      </c>
      <c r="D43" s="163"/>
      <c r="E43" s="164">
        <f>E42+E41</f>
        <v>10211161</v>
      </c>
      <c r="F43" s="163"/>
      <c r="G43" s="155">
        <f t="shared" si="12"/>
        <v>-507885</v>
      </c>
      <c r="H43" s="154">
        <f t="shared" si="13"/>
        <v>-4.9738222715321023E-2</v>
      </c>
      <c r="I43" s="173"/>
      <c r="K43" s="163"/>
      <c r="L43" s="164">
        <f>L42+L41</f>
        <v>19392631</v>
      </c>
      <c r="M43" s="163"/>
      <c r="N43" s="164">
        <f>N42+N41</f>
        <v>19575628</v>
      </c>
      <c r="O43" s="163"/>
      <c r="P43" s="155">
        <f t="shared" si="14"/>
        <v>-182997</v>
      </c>
      <c r="Q43" s="154">
        <f t="shared" si="15"/>
        <v>-9.3482058404460444E-3</v>
      </c>
    </row>
    <row r="44" spans="2:17" x14ac:dyDescent="0.2">
      <c r="I44" s="171"/>
    </row>
    <row r="45" spans="2:17" ht="18.75" x14ac:dyDescent="0.3">
      <c r="B45" s="149" t="s">
        <v>66</v>
      </c>
      <c r="I45" s="171"/>
      <c r="K45" s="149" t="s">
        <v>66</v>
      </c>
    </row>
    <row r="46" spans="2:17" x14ac:dyDescent="0.2">
      <c r="B46" s="60" t="str">
        <f>$B$3</f>
        <v xml:space="preserve">Q2'22 vs Q2'21 </v>
      </c>
      <c r="I46" s="171"/>
      <c r="K46" s="60" t="str">
        <f>$B$3</f>
        <v xml:space="preserve">Q2'22 vs Q2'21 </v>
      </c>
    </row>
    <row r="47" spans="2:17" x14ac:dyDescent="0.2">
      <c r="B47" s="52" t="s">
        <v>52</v>
      </c>
      <c r="I47" s="171"/>
      <c r="K47" s="52" t="s">
        <v>52</v>
      </c>
    </row>
    <row r="48" spans="2:17" x14ac:dyDescent="0.2">
      <c r="C48" s="169" t="s">
        <v>53</v>
      </c>
      <c r="D48" s="150"/>
      <c r="E48" s="169" t="s">
        <v>53</v>
      </c>
      <c r="I48" s="171"/>
      <c r="L48" s="169" t="s">
        <v>53</v>
      </c>
      <c r="M48" s="150"/>
      <c r="N48" s="169" t="s">
        <v>53</v>
      </c>
    </row>
    <row r="49" spans="2:17" x14ac:dyDescent="0.2">
      <c r="B49" s="151"/>
      <c r="C49" s="169" t="str">
        <f>$C$6</f>
        <v>Q2'22</v>
      </c>
      <c r="D49" s="150"/>
      <c r="E49" s="169" t="str">
        <f>$E$6</f>
        <v>Q2'21</v>
      </c>
      <c r="G49" s="197" t="s">
        <v>56</v>
      </c>
      <c r="H49" s="169" t="s">
        <v>57</v>
      </c>
      <c r="I49" s="171"/>
      <c r="K49" s="151"/>
      <c r="L49" s="169" t="str">
        <f>$L$6</f>
        <v>Jun YTD 2022</v>
      </c>
      <c r="M49" s="150"/>
      <c r="N49" s="169" t="str">
        <f>$N$6</f>
        <v>Jun YTD 2021</v>
      </c>
      <c r="P49" s="197" t="s">
        <v>56</v>
      </c>
      <c r="Q49" s="169" t="s">
        <v>57</v>
      </c>
    </row>
    <row r="50" spans="2:17" x14ac:dyDescent="0.2">
      <c r="H50" s="152"/>
      <c r="I50" s="171"/>
      <c r="Q50" s="152"/>
    </row>
    <row r="51" spans="2:17" x14ac:dyDescent="0.2">
      <c r="B51" s="21" t="s">
        <v>58</v>
      </c>
      <c r="C51" s="91">
        <f>19514.7253822776*('2022 IR Data Book'!$A$5)</f>
        <v>19514.7253822776</v>
      </c>
      <c r="D51" s="153">
        <f>C51/$C$57</f>
        <v>0.21883896242387299</v>
      </c>
      <c r="E51" s="91">
        <f>18434.5037356755*('2022 IR Data Book'!$A$5)</f>
        <v>18434.503735675498</v>
      </c>
      <c r="F51" s="153">
        <f>E51/$E$57</f>
        <v>0.22230982719372755</v>
      </c>
      <c r="G51" s="155">
        <f>C51-E51</f>
        <v>1080.2216466021018</v>
      </c>
      <c r="H51" s="154">
        <f>(C51/E51)-1</f>
        <v>5.8597815384180629E-2</v>
      </c>
      <c r="I51" s="171"/>
      <c r="K51" s="21" t="s">
        <v>58</v>
      </c>
      <c r="L51" s="91">
        <f>37970.0862189547*('2022 IR Data Book'!$A$5)</f>
        <v>37970.086218954697</v>
      </c>
      <c r="M51" s="153">
        <f>L51/$L$57</f>
        <v>0.21537288674465485</v>
      </c>
      <c r="N51" s="91">
        <f>34920.2834689979*('2022 IR Data Book'!$A$5)</f>
        <v>34920.283468997899</v>
      </c>
      <c r="O51" s="153">
        <f>N51/$N$57</f>
        <v>0.22151636430717533</v>
      </c>
      <c r="P51" s="155">
        <f>L51-N51</f>
        <v>3049.8027499567979</v>
      </c>
      <c r="Q51" s="154">
        <f>(L51/N51)-1</f>
        <v>8.7336139543781277E-2</v>
      </c>
    </row>
    <row r="52" spans="2:17" x14ac:dyDescent="0.2">
      <c r="B52" s="21" t="s">
        <v>59</v>
      </c>
      <c r="C52" s="91">
        <f>41103.8643450888*('2022 IR Data Book'!$A$5)</f>
        <v>41103.864345088798</v>
      </c>
      <c r="D52" s="153">
        <f t="shared" ref="D52:D55" si="16">C52/$C$57</f>
        <v>0.46094048717999547</v>
      </c>
      <c r="E52" s="91">
        <f>40485.0708622008*('2022 IR Data Book'!$A$5)</f>
        <v>40485.070862200802</v>
      </c>
      <c r="F52" s="153">
        <f t="shared" ref="F52:F55" si="17">E52/$E$57</f>
        <v>0.48822736084204532</v>
      </c>
      <c r="G52" s="155">
        <f t="shared" ref="G52:G55" si="18">C52-E52</f>
        <v>618.7934828879952</v>
      </c>
      <c r="H52" s="154">
        <f>(C52/E52)-1</f>
        <v>1.5284485606908982E-2</v>
      </c>
      <c r="I52" s="171"/>
      <c r="K52" s="21" t="s">
        <v>59</v>
      </c>
      <c r="L52" s="91">
        <f>80305.7954259955*('2022 IR Data Book'!$A$5)</f>
        <v>80305.7954259955</v>
      </c>
      <c r="M52" s="153">
        <f>L52/$L$57</f>
        <v>0.45550834105265547</v>
      </c>
      <c r="N52" s="91">
        <f>78122.4956775175*('2022 IR Data Book'!$A$5)</f>
        <v>78122.495677517494</v>
      </c>
      <c r="O52" s="153">
        <f>N52/$N$57</f>
        <v>0.4955690359286567</v>
      </c>
      <c r="P52" s="155">
        <f t="shared" ref="P52:P55" si="19">L52-N52</f>
        <v>2183.2997484780062</v>
      </c>
      <c r="Q52" s="154">
        <f>(L52/N52)-1</f>
        <v>2.7947132635015581E-2</v>
      </c>
    </row>
    <row r="53" spans="2:17" x14ac:dyDescent="0.2">
      <c r="B53" s="21" t="s">
        <v>60</v>
      </c>
      <c r="C53" s="91">
        <f>21367.6640197469*('2022 IR Data Book'!$A$5)</f>
        <v>21367.664019746899</v>
      </c>
      <c r="D53" s="153">
        <f t="shared" si="16"/>
        <v>0.23961789530227973</v>
      </c>
      <c r="E53" s="91">
        <f>17014.918600056*('2022 IR Data Book'!$A$5)</f>
        <v>17014.918600056</v>
      </c>
      <c r="F53" s="153">
        <f t="shared" si="17"/>
        <v>0.2051904226948903</v>
      </c>
      <c r="G53" s="85">
        <f t="shared" si="18"/>
        <v>4352.7454196908984</v>
      </c>
      <c r="H53" s="86">
        <f>(C53/E53)-1</f>
        <v>0.25581935018346624</v>
      </c>
      <c r="I53" s="171"/>
      <c r="K53" s="21" t="s">
        <v>60</v>
      </c>
      <c r="L53" s="91">
        <f>43837.2041228409*('2022 IR Data Book'!$A$5)</f>
        <v>43837.2041228409</v>
      </c>
      <c r="M53" s="153">
        <f>L53/$L$57</f>
        <v>0.24865219278953868</v>
      </c>
      <c r="N53" s="91">
        <f>30882.0090138364*('2022 IR Data Book'!$A$5)</f>
        <v>30882.009013836399</v>
      </c>
      <c r="O53" s="153">
        <f>N53/$N$57</f>
        <v>0.19589962278856518</v>
      </c>
      <c r="P53" s="85">
        <f t="shared" si="19"/>
        <v>12955.1951090045</v>
      </c>
      <c r="Q53" s="86">
        <f>(L53/N53)-1</f>
        <v>0.41950622782345692</v>
      </c>
    </row>
    <row r="54" spans="2:17" x14ac:dyDescent="0.2">
      <c r="B54" s="21" t="s">
        <v>61</v>
      </c>
      <c r="C54" s="91">
        <f>3106.62401356266*('2022 IR Data Book'!$A$5)</f>
        <v>3106.6240135626599</v>
      </c>
      <c r="D54" s="153">
        <f t="shared" si="16"/>
        <v>3.4837814135296526E-2</v>
      </c>
      <c r="E54" s="91">
        <f>2789.20271181533*('2022 IR Data Book'!$A$5)</f>
        <v>2789.2027118153301</v>
      </c>
      <c r="F54" s="153">
        <f t="shared" si="17"/>
        <v>3.3636228116732704E-2</v>
      </c>
      <c r="G54" s="155">
        <f t="shared" si="18"/>
        <v>317.42130174732984</v>
      </c>
      <c r="H54" s="154">
        <f>(C54/E54)-1</f>
        <v>0.1138035971364515</v>
      </c>
      <c r="I54" s="171"/>
      <c r="K54" s="21" t="s">
        <v>61</v>
      </c>
      <c r="L54" s="91">
        <f>6075.88843442951*('2022 IR Data Book'!$A$5)</f>
        <v>6075.8884344295102</v>
      </c>
      <c r="M54" s="153">
        <f>L54/$L$57</f>
        <v>3.4463488550318333E-2</v>
      </c>
      <c r="N54" s="91">
        <f>5951.51844946725*('2022 IR Data Book'!$A$5)</f>
        <v>5951.5184494672503</v>
      </c>
      <c r="O54" s="153">
        <f>N54/$N$57</f>
        <v>3.7753379928988744E-2</v>
      </c>
      <c r="P54" s="155">
        <f t="shared" si="19"/>
        <v>124.36998496225988</v>
      </c>
      <c r="Q54" s="154">
        <f>(L54/N54)-1</f>
        <v>2.0897185486065784E-2</v>
      </c>
    </row>
    <row r="55" spans="2:17" x14ac:dyDescent="0.2">
      <c r="B55" s="21" t="s">
        <v>62</v>
      </c>
      <c r="C55" s="91">
        <f>4081.02969223542*('2022 IR Data Book'!$A$5)</f>
        <v>4081.02969223542</v>
      </c>
      <c r="D55" s="153">
        <f t="shared" si="16"/>
        <v>4.576484095855532E-2</v>
      </c>
      <c r="E55" s="91">
        <f>4198.8809658626*('2022 IR Data Book'!$A$5)</f>
        <v>4198.8809658625996</v>
      </c>
      <c r="F55" s="153">
        <f t="shared" si="17"/>
        <v>5.0636161152604074E-2</v>
      </c>
      <c r="G55" s="155">
        <f t="shared" si="18"/>
        <v>-117.85127362717958</v>
      </c>
      <c r="H55" s="154">
        <f>(C55/E55)-1</f>
        <v>-2.8067305214252158E-2</v>
      </c>
      <c r="I55" s="171"/>
      <c r="K55" s="21" t="s">
        <v>62</v>
      </c>
      <c r="L55" s="91">
        <f>8110.31208617777*('2022 IR Data Book'!$A$5)</f>
        <v>8110.3120861777697</v>
      </c>
      <c r="M55" s="153">
        <f>L55/$L$57</f>
        <v>4.6003090862832843E-2</v>
      </c>
      <c r="N55" s="91">
        <f>7765.69685216522*('2022 IR Data Book'!$A$5)</f>
        <v>7765.6968521652198</v>
      </c>
      <c r="O55" s="153">
        <f>N55/$N$57</f>
        <v>4.926159704661414E-2</v>
      </c>
      <c r="P55" s="155">
        <f t="shared" si="19"/>
        <v>344.61523401254999</v>
      </c>
      <c r="Q55" s="154">
        <f>(L55/N55)-1</f>
        <v>4.4376601427142282E-2</v>
      </c>
    </row>
    <row r="56" spans="2:17" x14ac:dyDescent="0.2">
      <c r="C56" s="91"/>
      <c r="D56" s="153"/>
      <c r="E56" s="91"/>
      <c r="F56" s="153"/>
      <c r="G56" s="155"/>
      <c r="H56" s="154"/>
      <c r="I56" s="171"/>
      <c r="L56" s="91"/>
      <c r="M56" s="153"/>
      <c r="N56" s="91"/>
      <c r="O56" s="153"/>
      <c r="P56" s="155"/>
      <c r="Q56" s="154"/>
    </row>
    <row r="57" spans="2:17" ht="15.75" x14ac:dyDescent="0.25">
      <c r="B57" s="144" t="s">
        <v>63</v>
      </c>
      <c r="C57" s="92">
        <f>SUM(C51:C55)</f>
        <v>89173.907452911371</v>
      </c>
      <c r="D57" s="153">
        <f>C57/$C$57</f>
        <v>1</v>
      </c>
      <c r="E57" s="92">
        <f>SUM(E51:E55)</f>
        <v>82922.576875610233</v>
      </c>
      <c r="F57" s="153">
        <f>E57/$E$57</f>
        <v>1</v>
      </c>
      <c r="G57" s="156">
        <f>C57-E57</f>
        <v>6251.330577301138</v>
      </c>
      <c r="H57" s="157">
        <f>(C57/E57)-1</f>
        <v>7.5387558043192193E-2</v>
      </c>
      <c r="I57" s="171"/>
      <c r="K57" s="144" t="s">
        <v>63</v>
      </c>
      <c r="L57" s="92">
        <f>SUM(L51:L55)</f>
        <v>176299.28628839835</v>
      </c>
      <c r="M57" s="153">
        <f>L57/$L$57</f>
        <v>1</v>
      </c>
      <c r="N57" s="92">
        <f>SUM(N51:N55)</f>
        <v>157642.00346198425</v>
      </c>
      <c r="O57" s="153">
        <f>N57/$N$57</f>
        <v>1</v>
      </c>
      <c r="P57" s="156">
        <f>L57-N57</f>
        <v>18657.282826414099</v>
      </c>
      <c r="Q57" s="157">
        <f>(L57/N57)-1</f>
        <v>0.11835223111024051</v>
      </c>
    </row>
    <row r="58" spans="2:17" x14ac:dyDescent="0.2">
      <c r="C58" s="91">
        <v>0</v>
      </c>
      <c r="D58" s="158"/>
      <c r="E58" s="91">
        <v>0</v>
      </c>
      <c r="F58" s="158"/>
      <c r="G58" s="198"/>
      <c r="H58" s="154"/>
      <c r="I58" s="171"/>
      <c r="L58" s="91">
        <v>0</v>
      </c>
      <c r="M58" s="158"/>
      <c r="N58" s="91">
        <v>0</v>
      </c>
      <c r="O58" s="158"/>
      <c r="P58" s="198"/>
      <c r="Q58" s="154"/>
    </row>
    <row r="59" spans="2:17" ht="15.75" x14ac:dyDescent="0.25">
      <c r="B59" s="144" t="s">
        <v>64</v>
      </c>
      <c r="C59" s="92">
        <f>35415.6625350416*('2022 IR Data Book'!$A$5)</f>
        <v>35415.6625350416</v>
      </c>
      <c r="D59" s="153">
        <f>C59/$C$57</f>
        <v>0.39715274957243496</v>
      </c>
      <c r="E59" s="92">
        <f>27197.423754713*('2022 IR Data Book'!$A$5)</f>
        <v>27197.423754713</v>
      </c>
      <c r="F59" s="153">
        <f>E59/$E$57</f>
        <v>0.3279857522458699</v>
      </c>
      <c r="G59" s="156">
        <f>C59-E59</f>
        <v>8218.2387803286001</v>
      </c>
      <c r="H59" s="157">
        <f>(C59/E59)-1</f>
        <v>0.30216975160761228</v>
      </c>
      <c r="I59" s="171"/>
      <c r="K59" s="144" t="s">
        <v>64</v>
      </c>
      <c r="L59" s="92">
        <f>63747.8088125315*('2022 IR Data Book'!$A$5)</f>
        <v>63747.808812531497</v>
      </c>
      <c r="M59" s="153">
        <f>L59/$L$57</f>
        <v>0.36158858129606919</v>
      </c>
      <c r="N59" s="92">
        <f>51381.96683824*('2022 IR Data Book'!$A$5)</f>
        <v>51381.966838239998</v>
      </c>
      <c r="O59" s="153">
        <f>N59/$N$57</f>
        <v>0.32594083879827679</v>
      </c>
      <c r="P59" s="156">
        <f>L59-N59</f>
        <v>12365.841974291499</v>
      </c>
      <c r="Q59" s="157">
        <f>(L59/N59)-1</f>
        <v>0.24066501800566487</v>
      </c>
    </row>
    <row r="60" spans="2:17" x14ac:dyDescent="0.2">
      <c r="I60" s="171"/>
    </row>
    <row r="61" spans="2:17" x14ac:dyDescent="0.2">
      <c r="B61" s="74" t="s">
        <v>257</v>
      </c>
      <c r="C61" s="169" t="str">
        <f>$C$6</f>
        <v>Q2'22</v>
      </c>
      <c r="D61" s="150"/>
      <c r="E61" s="169" t="str">
        <f>$E$6</f>
        <v>Q2'21</v>
      </c>
      <c r="G61" s="197" t="s">
        <v>56</v>
      </c>
      <c r="H61" s="169" t="s">
        <v>57</v>
      </c>
      <c r="I61" s="171"/>
      <c r="K61" s="74" t="s">
        <v>257</v>
      </c>
      <c r="L61" s="169" t="str">
        <f>$L$6</f>
        <v>Jun YTD 2022</v>
      </c>
      <c r="M61" s="150"/>
      <c r="N61" s="169" t="str">
        <f>$N$6</f>
        <v>Jun YTD 2021</v>
      </c>
      <c r="P61" s="197" t="s">
        <v>56</v>
      </c>
      <c r="Q61" s="169" t="s">
        <v>57</v>
      </c>
    </row>
    <row r="62" spans="2:17" ht="15.75" x14ac:dyDescent="0.25">
      <c r="B62" s="160" t="s">
        <v>258</v>
      </c>
      <c r="C62" s="87">
        <v>1486489</v>
      </c>
      <c r="D62" s="87"/>
      <c r="E62" s="87">
        <v>1529994</v>
      </c>
      <c r="F62" s="94"/>
      <c r="G62" s="155">
        <f t="shared" ref="G62:G64" si="20">C62-E62</f>
        <v>-43505</v>
      </c>
      <c r="H62" s="154">
        <f t="shared" ref="H62:H64" si="21">(C62/E62)-1</f>
        <v>-2.8434752031707311E-2</v>
      </c>
      <c r="I62" s="172"/>
      <c r="K62" s="160" t="s">
        <v>258</v>
      </c>
      <c r="L62" s="87">
        <v>2995467</v>
      </c>
      <c r="M62" s="87"/>
      <c r="N62" s="87">
        <v>3232128</v>
      </c>
      <c r="O62" s="94"/>
      <c r="P62" s="155">
        <f t="shared" ref="P62:P64" si="22">L62-N62</f>
        <v>-236661</v>
      </c>
      <c r="Q62" s="154">
        <f t="shared" ref="Q62:Q64" si="23">(L62/N62)-1</f>
        <v>-7.3221419448734726E-2</v>
      </c>
    </row>
    <row r="63" spans="2:17" ht="15.75" x14ac:dyDescent="0.25">
      <c r="B63" s="144" t="s">
        <v>58</v>
      </c>
      <c r="C63" s="170">
        <v>79030</v>
      </c>
      <c r="D63" s="88"/>
      <c r="E63" s="170">
        <v>77309</v>
      </c>
      <c r="F63" s="159"/>
      <c r="G63" s="155">
        <f t="shared" si="20"/>
        <v>1721</v>
      </c>
      <c r="H63" s="154">
        <f t="shared" si="21"/>
        <v>2.2261314982731539E-2</v>
      </c>
      <c r="I63" s="171"/>
      <c r="J63" s="162"/>
      <c r="K63" s="144" t="s">
        <v>58</v>
      </c>
      <c r="L63" s="170">
        <v>159927</v>
      </c>
      <c r="M63" s="88"/>
      <c r="N63" s="170">
        <v>148475</v>
      </c>
      <c r="O63" s="159"/>
      <c r="P63" s="155">
        <f t="shared" si="22"/>
        <v>11452</v>
      </c>
      <c r="Q63" s="154">
        <f t="shared" si="23"/>
        <v>7.7130830106078463E-2</v>
      </c>
    </row>
    <row r="64" spans="2:17" x14ac:dyDescent="0.2">
      <c r="B64" s="163"/>
      <c r="C64" s="164">
        <f>C63+C62</f>
        <v>1565519</v>
      </c>
      <c r="D64" s="163"/>
      <c r="E64" s="164">
        <f>E63+E62</f>
        <v>1607303</v>
      </c>
      <c r="F64" s="163"/>
      <c r="G64" s="155">
        <f t="shared" si="20"/>
        <v>-41784</v>
      </c>
      <c r="H64" s="154">
        <f t="shared" si="21"/>
        <v>-2.5996342942183226E-2</v>
      </c>
      <c r="I64" s="173"/>
      <c r="J64" s="162"/>
      <c r="K64" s="163"/>
      <c r="L64" s="164">
        <f>L63+L62</f>
        <v>3155394</v>
      </c>
      <c r="M64" s="163"/>
      <c r="N64" s="164">
        <f>N63+N62</f>
        <v>3380603</v>
      </c>
      <c r="O64" s="163"/>
      <c r="P64" s="155">
        <f t="shared" si="22"/>
        <v>-225209</v>
      </c>
      <c r="Q64" s="154">
        <f t="shared" si="23"/>
        <v>-6.6617996848491234E-2</v>
      </c>
    </row>
    <row r="65" spans="2:17" x14ac:dyDescent="0.2">
      <c r="I65" s="171"/>
    </row>
    <row r="66" spans="2:17" ht="18.75" x14ac:dyDescent="0.3">
      <c r="B66" s="149" t="s">
        <v>67</v>
      </c>
      <c r="I66" s="171"/>
      <c r="K66" s="149" t="s">
        <v>67</v>
      </c>
    </row>
    <row r="67" spans="2:17" x14ac:dyDescent="0.2">
      <c r="B67" s="60" t="str">
        <f>$B$3</f>
        <v xml:space="preserve">Q2'22 vs Q2'21 </v>
      </c>
      <c r="I67" s="171"/>
      <c r="K67" s="60" t="str">
        <f>$B$3</f>
        <v xml:space="preserve">Q2'22 vs Q2'21 </v>
      </c>
    </row>
    <row r="68" spans="2:17" x14ac:dyDescent="0.2">
      <c r="B68" s="52" t="s">
        <v>52</v>
      </c>
      <c r="I68" s="171"/>
      <c r="K68" s="52" t="s">
        <v>52</v>
      </c>
    </row>
    <row r="69" spans="2:17" x14ac:dyDescent="0.2">
      <c r="C69" s="169" t="s">
        <v>53</v>
      </c>
      <c r="D69" s="150"/>
      <c r="E69" s="169" t="s">
        <v>53</v>
      </c>
      <c r="I69" s="171"/>
      <c r="L69" s="169" t="s">
        <v>53</v>
      </c>
      <c r="M69" s="150"/>
      <c r="N69" s="169" t="s">
        <v>53</v>
      </c>
    </row>
    <row r="70" spans="2:17" x14ac:dyDescent="0.2">
      <c r="B70" s="151"/>
      <c r="C70" s="169" t="str">
        <f>$C$6</f>
        <v>Q2'22</v>
      </c>
      <c r="D70" s="150"/>
      <c r="E70" s="169" t="str">
        <f>$E$6</f>
        <v>Q2'21</v>
      </c>
      <c r="G70" s="197" t="s">
        <v>56</v>
      </c>
      <c r="H70" s="169" t="s">
        <v>57</v>
      </c>
      <c r="I70" s="171"/>
      <c r="K70" s="151"/>
      <c r="L70" s="169" t="str">
        <f>$L$6</f>
        <v>Jun YTD 2022</v>
      </c>
      <c r="M70" s="150"/>
      <c r="N70" s="169" t="str">
        <f>$N$6</f>
        <v>Jun YTD 2021</v>
      </c>
      <c r="P70" s="197" t="s">
        <v>56</v>
      </c>
      <c r="Q70" s="169" t="s">
        <v>57</v>
      </c>
    </row>
    <row r="71" spans="2:17" x14ac:dyDescent="0.2">
      <c r="H71" s="152"/>
      <c r="I71" s="171"/>
      <c r="Q71" s="152"/>
    </row>
    <row r="72" spans="2:17" x14ac:dyDescent="0.2">
      <c r="B72" s="21" t="s">
        <v>58</v>
      </c>
      <c r="C72" s="91">
        <f>100489.116192232*('2022 IR Data Book'!$A$5)</f>
        <v>100489.116192232</v>
      </c>
      <c r="D72" s="153">
        <f>C72/$C$78</f>
        <v>0.51029134832130552</v>
      </c>
      <c r="E72" s="91">
        <f>107388.297996599*('2022 IR Data Book'!$A$5)</f>
        <v>107388.29799659899</v>
      </c>
      <c r="F72" s="153">
        <f>E72/$E$78</f>
        <v>0.52365896810048607</v>
      </c>
      <c r="G72" s="155">
        <f>C72-E72</f>
        <v>-6899.1818043669919</v>
      </c>
      <c r="H72" s="154">
        <f>(C72/E72)-1</f>
        <v>-6.4245191823279368E-2</v>
      </c>
      <c r="I72" s="171"/>
      <c r="K72" s="21" t="s">
        <v>58</v>
      </c>
      <c r="L72" s="91">
        <f>192095.003479943*('2022 IR Data Book'!$A$5)</f>
        <v>192095.003479943</v>
      </c>
      <c r="M72" s="153">
        <f>L72/$L$78</f>
        <v>0.5062630961259641</v>
      </c>
      <c r="N72" s="91">
        <f>198603.393003603*('2022 IR Data Book'!$A$5)</f>
        <v>198603.39300360301</v>
      </c>
      <c r="O72" s="153">
        <f>N72/$N$78</f>
        <v>0.50665394476989922</v>
      </c>
      <c r="P72" s="155">
        <f>L72-N72</f>
        <v>-6508.3895236600074</v>
      </c>
      <c r="Q72" s="154">
        <f>(L72/N72)-1</f>
        <v>-3.2770787171505833E-2</v>
      </c>
    </row>
    <row r="73" spans="2:17" x14ac:dyDescent="0.2">
      <c r="B73" s="21" t="s">
        <v>59</v>
      </c>
      <c r="C73" s="91">
        <f>10669.9632503738*('2022 IR Data Book'!$A$5)</f>
        <v>10669.963250373799</v>
      </c>
      <c r="D73" s="153">
        <f t="shared" ref="D73:D76" si="24">C73/$C$78</f>
        <v>5.4182882086019554E-2</v>
      </c>
      <c r="E73" s="91">
        <f>12923.86835087*('2022 IR Data Book'!$A$5)</f>
        <v>12923.86835087</v>
      </c>
      <c r="F73" s="153">
        <f t="shared" ref="F73:F76" si="25">E73/$E$78</f>
        <v>6.3020828998495246E-2</v>
      </c>
      <c r="G73" s="155">
        <f t="shared" ref="G73:G76" si="26">C73-E73</f>
        <v>-2253.9051004962002</v>
      </c>
      <c r="H73" s="154">
        <f>(C73/E73)-1</f>
        <v>-0.17439864282929451</v>
      </c>
      <c r="I73" s="171"/>
      <c r="K73" s="21" t="s">
        <v>59</v>
      </c>
      <c r="L73" s="91">
        <f>21772.9461907704*('2022 IR Data Book'!$A$5)</f>
        <v>21772.946190770399</v>
      </c>
      <c r="M73" s="153">
        <f>L73/$L$78</f>
        <v>5.738222728668918E-2</v>
      </c>
      <c r="N73" s="91">
        <f>25180.9854369754*('2022 IR Data Book'!$A$5)</f>
        <v>25180.985436975399</v>
      </c>
      <c r="O73" s="153">
        <f>N73/$N$78</f>
        <v>6.423880988078344E-2</v>
      </c>
      <c r="P73" s="155">
        <f t="shared" ref="P73:P76" si="27">L73-N73</f>
        <v>-3408.0392462050004</v>
      </c>
      <c r="Q73" s="154">
        <f>(L73/N73)-1</f>
        <v>-0.13534177424211069</v>
      </c>
    </row>
    <row r="74" spans="2:17" x14ac:dyDescent="0.2">
      <c r="B74" s="21" t="s">
        <v>60</v>
      </c>
      <c r="C74" s="91">
        <f>74731.2307101337*('2022 IR Data Book'!$A$5)</f>
        <v>74731.230710133706</v>
      </c>
      <c r="D74" s="153">
        <f t="shared" si="24"/>
        <v>0.37949085359487483</v>
      </c>
      <c r="E74" s="91">
        <f>72458.2244384308*('2022 IR Data Book'!$A$5)</f>
        <v>72458.2244384308</v>
      </c>
      <c r="F74" s="153">
        <f t="shared" si="25"/>
        <v>0.35332899159109282</v>
      </c>
      <c r="G74" s="85">
        <f t="shared" si="26"/>
        <v>2273.0062717029068</v>
      </c>
      <c r="H74" s="86">
        <f>(C74/E74)-1</f>
        <v>3.1369886432068617E-2</v>
      </c>
      <c r="I74" s="171"/>
      <c r="K74" s="21" t="s">
        <v>60</v>
      </c>
      <c r="L74" s="91">
        <f>144249.510702191*('2022 IR Data Book'!$A$5)</f>
        <v>144249.51070219101</v>
      </c>
      <c r="M74" s="153">
        <f>L74/$L$78</f>
        <v>0.3801671182476728</v>
      </c>
      <c r="N74" s="91">
        <f>142925.749795614*('2022 IR Data Book'!$A$5)</f>
        <v>142925.74979561401</v>
      </c>
      <c r="O74" s="153">
        <f>N74/$N$78</f>
        <v>0.36461559819287548</v>
      </c>
      <c r="P74" s="85">
        <f t="shared" si="27"/>
        <v>1323.7609065769939</v>
      </c>
      <c r="Q74" s="86">
        <f>(L74/N74)-1</f>
        <v>9.2618783422160345E-3</v>
      </c>
    </row>
    <row r="75" spans="2:17" x14ac:dyDescent="0.2">
      <c r="B75" s="21" t="s">
        <v>61</v>
      </c>
      <c r="C75" s="91">
        <f>10331.794318643*('2022 IR Data Book'!$A$5)</f>
        <v>10331.794318643</v>
      </c>
      <c r="D75" s="153">
        <f t="shared" si="24"/>
        <v>5.2465634620103195E-2</v>
      </c>
      <c r="E75" s="91">
        <f>11738.8281326168*('2022 IR Data Book'!$A$5)</f>
        <v>11738.8281326168</v>
      </c>
      <c r="F75" s="153">
        <f t="shared" si="25"/>
        <v>5.7242201816344561E-2</v>
      </c>
      <c r="G75" s="155">
        <f t="shared" si="26"/>
        <v>-1407.0338139737996</v>
      </c>
      <c r="H75" s="154">
        <f>(C75/E75)-1</f>
        <v>-0.11986152263906991</v>
      </c>
      <c r="I75" s="171"/>
      <c r="K75" s="21" t="s">
        <v>61</v>
      </c>
      <c r="L75" s="91">
        <f>19895.3908112928*('2022 IR Data Book'!$A$5)</f>
        <v>19895.3908112928</v>
      </c>
      <c r="M75" s="153">
        <f>L75/$L$78</f>
        <v>5.2433962197318773E-2</v>
      </c>
      <c r="N75" s="91">
        <f>24276.1613715264*('2022 IR Data Book'!$A$5)</f>
        <v>24276.161371526399</v>
      </c>
      <c r="O75" s="153">
        <f>N75/$N$78</f>
        <v>6.1930527654839009E-2</v>
      </c>
      <c r="P75" s="155">
        <f t="shared" si="27"/>
        <v>-4380.7705602335991</v>
      </c>
      <c r="Q75" s="154">
        <f>(L75/N75)-1</f>
        <v>-0.18045565331312308</v>
      </c>
    </row>
    <row r="76" spans="2:17" x14ac:dyDescent="0.2">
      <c r="B76" s="21" t="s">
        <v>62</v>
      </c>
      <c r="C76" s="91">
        <f>702.880682312328*('2022 IR Data Book'!$A$5)</f>
        <v>702.88068231232796</v>
      </c>
      <c r="D76" s="153">
        <f t="shared" si="24"/>
        <v>3.5692813776969329E-3</v>
      </c>
      <c r="E76" s="91">
        <f>563.747531648373*('2022 IR Data Book'!$A$5)</f>
        <v>563.74753164837296</v>
      </c>
      <c r="F76" s="153">
        <f t="shared" si="25"/>
        <v>2.7490094935812516E-3</v>
      </c>
      <c r="G76" s="155">
        <f t="shared" si="26"/>
        <v>139.13315066395501</v>
      </c>
      <c r="H76" s="154">
        <f>(C76/E76)-1</f>
        <v>0.24680046093884589</v>
      </c>
      <c r="I76" s="171"/>
      <c r="K76" s="21" t="s">
        <v>62</v>
      </c>
      <c r="L76" s="91">
        <f>1424.25365298324*('2022 IR Data Book'!$A$5)</f>
        <v>1424.25365298324</v>
      </c>
      <c r="M76" s="153">
        <f>L76/$L$78</f>
        <v>3.7535961423551313E-3</v>
      </c>
      <c r="N76" s="91">
        <f>1003.93380562157*('2022 IR Data Book'!$A$5)</f>
        <v>1003.9338056215699</v>
      </c>
      <c r="O76" s="153">
        <f>N76/$N$78</f>
        <v>2.5611195016028649E-3</v>
      </c>
      <c r="P76" s="155">
        <f t="shared" si="27"/>
        <v>420.3198473616701</v>
      </c>
      <c r="Q76" s="154">
        <f>(L76/N76)-1</f>
        <v>0.41867286967335016</v>
      </c>
    </row>
    <row r="77" spans="2:17" x14ac:dyDescent="0.2">
      <c r="C77" s="91"/>
      <c r="D77" s="153"/>
      <c r="E77" s="91"/>
      <c r="F77" s="153"/>
      <c r="G77" s="155"/>
      <c r="H77" s="154"/>
      <c r="I77" s="171"/>
      <c r="L77" s="91"/>
      <c r="M77" s="153"/>
      <c r="N77" s="91"/>
      <c r="O77" s="153"/>
      <c r="P77" s="155"/>
      <c r="Q77" s="154"/>
    </row>
    <row r="78" spans="2:17" ht="15.75" x14ac:dyDescent="0.25">
      <c r="B78" s="144" t="s">
        <v>63</v>
      </c>
      <c r="C78" s="92">
        <f>SUM(C72:C76)</f>
        <v>196924.98515369484</v>
      </c>
      <c r="D78" s="196">
        <f>C78/$C$78</f>
        <v>1</v>
      </c>
      <c r="E78" s="92">
        <f>SUM(E72:E76)</f>
        <v>205072.96645016497</v>
      </c>
      <c r="F78" s="153">
        <f>E78/$E$78</f>
        <v>1</v>
      </c>
      <c r="G78" s="156">
        <f>C78-E78</f>
        <v>-8147.9812964701268</v>
      </c>
      <c r="H78" s="157">
        <f>(C78/E78)-1</f>
        <v>-3.9732108222319873E-2</v>
      </c>
      <c r="I78" s="171"/>
      <c r="K78" s="144" t="s">
        <v>63</v>
      </c>
      <c r="L78" s="92">
        <f>SUM(L72:L76)</f>
        <v>379437.10483718046</v>
      </c>
      <c r="M78" s="153">
        <f>L78/$L$78</f>
        <v>1</v>
      </c>
      <c r="N78" s="92">
        <f>SUM(N72:N76)</f>
        <v>391990.2234133404</v>
      </c>
      <c r="O78" s="153">
        <f>N78/$N$78</f>
        <v>1</v>
      </c>
      <c r="P78" s="156">
        <f>L78-N78</f>
        <v>-12553.118576159934</v>
      </c>
      <c r="Q78" s="157">
        <f>(L78/N78)-1</f>
        <v>-3.2024060362656259E-2</v>
      </c>
    </row>
    <row r="79" spans="2:17" x14ac:dyDescent="0.2">
      <c r="C79" s="91">
        <v>0</v>
      </c>
      <c r="D79" s="158"/>
      <c r="E79" s="91">
        <v>0</v>
      </c>
      <c r="F79" s="158"/>
      <c r="G79" s="198"/>
      <c r="H79" s="154"/>
      <c r="I79" s="171"/>
      <c r="L79" s="91">
        <v>0</v>
      </c>
      <c r="M79" s="158"/>
      <c r="N79" s="91">
        <v>0</v>
      </c>
      <c r="O79" s="158"/>
      <c r="P79" s="198"/>
      <c r="Q79" s="154"/>
    </row>
    <row r="80" spans="2:17" ht="15.75" x14ac:dyDescent="0.25">
      <c r="B80" s="144" t="s">
        <v>64</v>
      </c>
      <c r="C80" s="92">
        <f>33871.5837379572*('2022 IR Data Book'!$A$5)</f>
        <v>33871.583737957197</v>
      </c>
      <c r="D80" s="153">
        <f>C80/$C$78</f>
        <v>0.17200246942520425</v>
      </c>
      <c r="E80" s="92">
        <f>35786.0462137924*('2022 IR Data Book'!$A$5)</f>
        <v>35786.046213792397</v>
      </c>
      <c r="F80" s="153">
        <f>E80/$E$78</f>
        <v>0.1745039672134884</v>
      </c>
      <c r="G80" s="156">
        <f>C80-E80</f>
        <v>-1914.4624758352002</v>
      </c>
      <c r="H80" s="157">
        <f>(C80/E80)-1</f>
        <v>-5.349745720434862E-2</v>
      </c>
      <c r="I80" s="171"/>
      <c r="K80" s="144" t="s">
        <v>64</v>
      </c>
      <c r="L80" s="92">
        <f>67738.9040390063*('2022 IR Data Book'!$A$5)</f>
        <v>67738.904039006302</v>
      </c>
      <c r="M80" s="153">
        <f>L80/$L$78</f>
        <v>0.17852472300534133</v>
      </c>
      <c r="N80" s="92">
        <f>65379.892335601*('2022 IR Data Book'!$A$5)</f>
        <v>65379.892335600998</v>
      </c>
      <c r="O80" s="153">
        <f>N80/$N$78</f>
        <v>0.1667895994096264</v>
      </c>
      <c r="P80" s="156">
        <f>L80-N80</f>
        <v>2359.0117034053037</v>
      </c>
      <c r="Q80" s="157">
        <f>(L80/N80)-1</f>
        <v>3.6081608872897464E-2</v>
      </c>
    </row>
    <row r="81" spans="2:17" x14ac:dyDescent="0.2">
      <c r="I81" s="171"/>
    </row>
    <row r="82" spans="2:17" x14ac:dyDescent="0.2">
      <c r="B82" s="74" t="s">
        <v>257</v>
      </c>
      <c r="C82" s="169" t="str">
        <f>$C$6</f>
        <v>Q2'22</v>
      </c>
      <c r="D82" s="150"/>
      <c r="E82" s="169" t="str">
        <f>$E$6</f>
        <v>Q2'21</v>
      </c>
      <c r="G82" s="197" t="s">
        <v>56</v>
      </c>
      <c r="H82" s="169" t="s">
        <v>57</v>
      </c>
      <c r="I82" s="171"/>
      <c r="K82" s="74" t="s">
        <v>257</v>
      </c>
      <c r="L82" s="169" t="str">
        <f>$L$6</f>
        <v>Jun YTD 2022</v>
      </c>
      <c r="M82" s="150"/>
      <c r="N82" s="169" t="str">
        <f>$N$6</f>
        <v>Jun YTD 2021</v>
      </c>
      <c r="P82" s="197" t="s">
        <v>56</v>
      </c>
      <c r="Q82" s="169" t="s">
        <v>57</v>
      </c>
    </row>
    <row r="83" spans="2:17" ht="15.75" x14ac:dyDescent="0.25">
      <c r="B83" s="160" t="s">
        <v>258</v>
      </c>
      <c r="C83" s="87">
        <v>1462</v>
      </c>
      <c r="D83" s="87"/>
      <c r="E83" s="87">
        <v>4303</v>
      </c>
      <c r="F83" s="94"/>
      <c r="G83" s="155">
        <f t="shared" ref="G83:G85" si="28">C83-E83</f>
        <v>-2841</v>
      </c>
      <c r="H83" s="154">
        <f t="shared" ref="H83:H85" si="29">(C83/E83)-1</f>
        <v>-0.66023704392284455</v>
      </c>
      <c r="I83" s="172"/>
      <c r="K83" s="160" t="s">
        <v>258</v>
      </c>
      <c r="L83" s="87">
        <v>5557</v>
      </c>
      <c r="M83" s="87"/>
      <c r="N83" s="87">
        <v>9028</v>
      </c>
      <c r="O83" s="94"/>
      <c r="P83" s="155">
        <f t="shared" ref="P83:P85" si="30">L83-N83</f>
        <v>-3471</v>
      </c>
      <c r="Q83" s="154">
        <f t="shared" ref="Q83:Q85" si="31">(L83/N83)-1</f>
        <v>-0.38447053610988036</v>
      </c>
    </row>
    <row r="84" spans="2:17" ht="15.75" x14ac:dyDescent="0.25">
      <c r="B84" s="144" t="s">
        <v>58</v>
      </c>
      <c r="C84" s="170">
        <v>1467280</v>
      </c>
      <c r="D84" s="88"/>
      <c r="E84" s="170">
        <v>1404578</v>
      </c>
      <c r="F84" s="159"/>
      <c r="G84" s="155">
        <f t="shared" si="28"/>
        <v>62702</v>
      </c>
      <c r="H84" s="154">
        <f t="shared" si="29"/>
        <v>4.4641166243526431E-2</v>
      </c>
      <c r="I84" s="171"/>
      <c r="K84" s="144" t="s">
        <v>58</v>
      </c>
      <c r="L84" s="170">
        <v>2658415</v>
      </c>
      <c r="M84" s="88"/>
      <c r="N84" s="170">
        <v>2639146</v>
      </c>
      <c r="O84" s="159"/>
      <c r="P84" s="155">
        <f t="shared" si="30"/>
        <v>19269</v>
      </c>
      <c r="Q84" s="154">
        <f t="shared" si="31"/>
        <v>7.3012254721791514E-3</v>
      </c>
    </row>
    <row r="85" spans="2:17" x14ac:dyDescent="0.2">
      <c r="B85" s="163"/>
      <c r="C85" s="164">
        <f>C84+C83</f>
        <v>1468742</v>
      </c>
      <c r="D85" s="163"/>
      <c r="E85" s="164">
        <f>E84+E83</f>
        <v>1408881</v>
      </c>
      <c r="F85" s="163"/>
      <c r="G85" s="155">
        <f t="shared" si="28"/>
        <v>59861</v>
      </c>
      <c r="H85" s="154">
        <f t="shared" si="29"/>
        <v>4.2488329390487856E-2</v>
      </c>
      <c r="I85" s="173"/>
      <c r="K85" s="163"/>
      <c r="L85" s="164">
        <f>L84+L83</f>
        <v>2663972</v>
      </c>
      <c r="M85" s="163"/>
      <c r="N85" s="164">
        <f>N84+N83</f>
        <v>2648174</v>
      </c>
      <c r="O85" s="163"/>
      <c r="P85" s="155">
        <f t="shared" si="30"/>
        <v>15798</v>
      </c>
      <c r="Q85" s="154">
        <f t="shared" si="31"/>
        <v>5.9656200838766882E-3</v>
      </c>
    </row>
    <row r="86" spans="2:17" x14ac:dyDescent="0.2">
      <c r="I86" s="171"/>
    </row>
    <row r="87" spans="2:17" ht="18.75" x14ac:dyDescent="0.3">
      <c r="B87" s="149" t="s">
        <v>68</v>
      </c>
      <c r="I87" s="171"/>
      <c r="K87" s="149" t="s">
        <v>68</v>
      </c>
    </row>
    <row r="88" spans="2:17" x14ac:dyDescent="0.2">
      <c r="B88" s="60" t="str">
        <f>$B$3</f>
        <v xml:space="preserve">Q2'22 vs Q2'21 </v>
      </c>
      <c r="I88" s="171"/>
      <c r="K88" s="60" t="str">
        <f>$B$3</f>
        <v xml:space="preserve">Q2'22 vs Q2'21 </v>
      </c>
    </row>
    <row r="89" spans="2:17" x14ac:dyDescent="0.2">
      <c r="B89" s="52" t="s">
        <v>52</v>
      </c>
      <c r="I89" s="171"/>
      <c r="K89" s="52" t="s">
        <v>52</v>
      </c>
    </row>
    <row r="90" spans="2:17" x14ac:dyDescent="0.2">
      <c r="C90" s="169" t="s">
        <v>53</v>
      </c>
      <c r="D90" s="150"/>
      <c r="E90" s="169" t="s">
        <v>53</v>
      </c>
      <c r="I90" s="171"/>
      <c r="L90" s="169" t="s">
        <v>53</v>
      </c>
      <c r="M90" s="150"/>
      <c r="N90" s="169" t="s">
        <v>53</v>
      </c>
    </row>
    <row r="91" spans="2:17" x14ac:dyDescent="0.2">
      <c r="B91" s="151"/>
      <c r="C91" s="169" t="str">
        <f>$C$6</f>
        <v>Q2'22</v>
      </c>
      <c r="D91" s="150"/>
      <c r="E91" s="169" t="str">
        <f>$E$6</f>
        <v>Q2'21</v>
      </c>
      <c r="G91" s="197" t="s">
        <v>56</v>
      </c>
      <c r="H91" s="169" t="s">
        <v>57</v>
      </c>
      <c r="I91" s="171"/>
      <c r="K91" s="151"/>
      <c r="L91" s="169" t="str">
        <f>$L$6</f>
        <v>Jun YTD 2022</v>
      </c>
      <c r="M91" s="150"/>
      <c r="N91" s="169" t="str">
        <f>$N$6</f>
        <v>Jun YTD 2021</v>
      </c>
      <c r="P91" s="197" t="s">
        <v>56</v>
      </c>
      <c r="Q91" s="169" t="s">
        <v>57</v>
      </c>
    </row>
    <row r="92" spans="2:17" x14ac:dyDescent="0.2">
      <c r="H92" s="152"/>
      <c r="I92" s="171"/>
      <c r="Q92" s="152"/>
    </row>
    <row r="93" spans="2:17" x14ac:dyDescent="0.2">
      <c r="B93" s="21" t="s">
        <v>58</v>
      </c>
      <c r="C93" s="91">
        <f>63758.0626469947*('2022 IR Data Book'!$A$5)</f>
        <v>63758.062646994702</v>
      </c>
      <c r="D93" s="153">
        <f>C93/$C$99</f>
        <v>0.8331887832217354</v>
      </c>
      <c r="E93" s="91">
        <f>70131.9542816389*('2022 IR Data Book'!$A$5)</f>
        <v>70131.9542816389</v>
      </c>
      <c r="F93" s="153">
        <f>E93/$E$99</f>
        <v>0.93777437688604093</v>
      </c>
      <c r="G93" s="155">
        <f>C93-E93</f>
        <v>-6373.8916346441983</v>
      </c>
      <c r="H93" s="154">
        <f>(C93/E93)-1</f>
        <v>-9.0884272368165431E-2</v>
      </c>
      <c r="I93" s="171"/>
      <c r="K93" s="21" t="s">
        <v>58</v>
      </c>
      <c r="L93" s="91">
        <f>129527.977095073*('2022 IR Data Book'!$A$5)</f>
        <v>129527.977095073</v>
      </c>
      <c r="M93" s="153">
        <f>L93/$L$99</f>
        <v>0.8581090248036185</v>
      </c>
      <c r="N93" s="91">
        <f>139123.66820207*('2022 IR Data Book'!$A$5)</f>
        <v>139123.66820207</v>
      </c>
      <c r="O93" s="153">
        <f>N93/$N$99</f>
        <v>0.93773699833032798</v>
      </c>
      <c r="P93" s="155">
        <f>L93-N93</f>
        <v>-9595.6911069969938</v>
      </c>
      <c r="Q93" s="154">
        <f>(L93/N93)-1</f>
        <v>-6.8972384289492261E-2</v>
      </c>
    </row>
    <row r="94" spans="2:17" x14ac:dyDescent="0.2">
      <c r="B94" s="21" t="s">
        <v>59</v>
      </c>
      <c r="C94" s="91">
        <f>0*('2022 IR Data Book'!$A$5)</f>
        <v>0</v>
      </c>
      <c r="D94" s="153">
        <f t="shared" ref="D94:D97" si="32">C94/$C$99</f>
        <v>0</v>
      </c>
      <c r="E94" s="91">
        <f>0*('2022 IR Data Book'!$A$5)</f>
        <v>0</v>
      </c>
      <c r="F94" s="153">
        <f t="shared" ref="F94:F97" si="33">E94/$E$99</f>
        <v>0</v>
      </c>
      <c r="G94" s="155">
        <f t="shared" ref="G94:G97" si="34">C94-E94</f>
        <v>0</v>
      </c>
      <c r="H94" s="154" t="e">
        <f>(C94/E94)-1</f>
        <v>#DIV/0!</v>
      </c>
      <c r="I94" s="171"/>
      <c r="K94" s="21" t="s">
        <v>59</v>
      </c>
      <c r="L94" s="91">
        <f>0*('2022 IR Data Book'!$A$5)</f>
        <v>0</v>
      </c>
      <c r="M94" s="153">
        <f>L94/$L$99</f>
        <v>0</v>
      </c>
      <c r="N94" s="91">
        <f>0*('2022 IR Data Book'!$A$5)</f>
        <v>0</v>
      </c>
      <c r="O94" s="153">
        <f>N94/$N$99</f>
        <v>0</v>
      </c>
      <c r="P94" s="155">
        <f t="shared" ref="P94:P97" si="35">L94-N94</f>
        <v>0</v>
      </c>
      <c r="Q94" s="154" t="e">
        <f>(L94/N94)-1</f>
        <v>#DIV/0!</v>
      </c>
    </row>
    <row r="95" spans="2:17" x14ac:dyDescent="0.2">
      <c r="B95" s="21" t="s">
        <v>60</v>
      </c>
      <c r="C95" s="91">
        <f>11868.6063597255*('2022 IR Data Book'!$A$5)</f>
        <v>11868.6063597255</v>
      </c>
      <c r="D95" s="153">
        <f t="shared" si="32"/>
        <v>0.15509865389336069</v>
      </c>
      <c r="E95" s="91">
        <f>4407.95623736251*('2022 IR Data Book'!$A$5)</f>
        <v>4407.9562373625104</v>
      </c>
      <c r="F95" s="153">
        <f t="shared" si="33"/>
        <v>5.8941297960034077E-2</v>
      </c>
      <c r="G95" s="85">
        <f t="shared" si="34"/>
        <v>7460.6501223629894</v>
      </c>
      <c r="H95" s="86">
        <f>(C95/E95)-1</f>
        <v>1.6925417859472787</v>
      </c>
      <c r="I95" s="171"/>
      <c r="K95" s="21" t="s">
        <v>60</v>
      </c>
      <c r="L95" s="91">
        <f>19931.5879410579*('2022 IR Data Book'!$A$5)</f>
        <v>19931.5879410579</v>
      </c>
      <c r="M95" s="153">
        <f>L95/$L$99</f>
        <v>0.13204464297574012</v>
      </c>
      <c r="N95" s="91">
        <f>8761.4442568447*('2022 IR Data Book'!$A$5)</f>
        <v>8761.4442568446993</v>
      </c>
      <c r="O95" s="153">
        <f>N95/$N$99</f>
        <v>5.9054872148129545E-2</v>
      </c>
      <c r="P95" s="85">
        <f t="shared" si="35"/>
        <v>11170.143684213201</v>
      </c>
      <c r="Q95" s="86">
        <f>(L95/N95)-1</f>
        <v>1.274920362072355</v>
      </c>
    </row>
    <row r="96" spans="2:17" x14ac:dyDescent="0.2">
      <c r="B96" s="21" t="s">
        <v>61</v>
      </c>
      <c r="C96" s="91">
        <f>0*('2022 IR Data Book'!$A$5)</f>
        <v>0</v>
      </c>
      <c r="D96" s="153">
        <f t="shared" si="32"/>
        <v>0</v>
      </c>
      <c r="E96" s="91">
        <f>0*('2022 IR Data Book'!$A$5)</f>
        <v>0</v>
      </c>
      <c r="F96" s="153">
        <f t="shared" si="33"/>
        <v>0</v>
      </c>
      <c r="G96" s="155">
        <f t="shared" si="34"/>
        <v>0</v>
      </c>
      <c r="H96" s="154" t="e">
        <f>(C96/E96)-1</f>
        <v>#DIV/0!</v>
      </c>
      <c r="I96" s="171"/>
      <c r="K96" s="21" t="s">
        <v>61</v>
      </c>
      <c r="L96" s="91">
        <f>0*('2022 IR Data Book'!$A$5)</f>
        <v>0</v>
      </c>
      <c r="M96" s="153">
        <f>L96/$L$99</f>
        <v>0</v>
      </c>
      <c r="N96" s="91">
        <f>0*('2022 IR Data Book'!$A$5)</f>
        <v>0</v>
      </c>
      <c r="O96" s="153">
        <f>N96/$N$99</f>
        <v>0</v>
      </c>
      <c r="P96" s="155">
        <f t="shared" si="35"/>
        <v>0</v>
      </c>
      <c r="Q96" s="154" t="e">
        <f>(L96/N96)-1</f>
        <v>#DIV/0!</v>
      </c>
    </row>
    <row r="97" spans="2:17" x14ac:dyDescent="0.2">
      <c r="B97" s="21" t="s">
        <v>62</v>
      </c>
      <c r="C97" s="91">
        <f>896.27985063*('2022 IR Data Book'!$A$5)</f>
        <v>896.27985063000006</v>
      </c>
      <c r="D97" s="153">
        <f t="shared" si="32"/>
        <v>1.171256288490391E-2</v>
      </c>
      <c r="E97" s="91">
        <f>245.61999903*('2022 IR Data Book'!$A$5)</f>
        <v>245.61999903</v>
      </c>
      <c r="F97" s="153">
        <f t="shared" si="33"/>
        <v>3.2843251539250501E-3</v>
      </c>
      <c r="G97" s="155">
        <f t="shared" si="34"/>
        <v>650.65985160000002</v>
      </c>
      <c r="H97" s="154">
        <f>(C97/E97)-1</f>
        <v>2.6490507864570447</v>
      </c>
      <c r="I97" s="171"/>
      <c r="K97" s="21" t="s">
        <v>62</v>
      </c>
      <c r="L97" s="91">
        <f>1486.262767878*('2022 IR Data Book'!$A$5)</f>
        <v>1486.262767878</v>
      </c>
      <c r="M97" s="153">
        <f>L97/$L$99</f>
        <v>9.8463322206413899E-3</v>
      </c>
      <c r="N97" s="91">
        <f>475.961541348*('2022 IR Data Book'!$A$5)</f>
        <v>475.96154134800003</v>
      </c>
      <c r="O97" s="153">
        <f>N97/$N$99</f>
        <v>3.2081295215425397E-3</v>
      </c>
      <c r="P97" s="155">
        <f t="shared" si="35"/>
        <v>1010.3012265299999</v>
      </c>
      <c r="Q97" s="154">
        <f>(L97/N97)-1</f>
        <v>2.1226530691296266</v>
      </c>
    </row>
    <row r="98" spans="2:17" x14ac:dyDescent="0.2">
      <c r="C98" s="91"/>
      <c r="D98" s="153"/>
      <c r="E98" s="91"/>
      <c r="F98" s="153"/>
      <c r="G98" s="155"/>
      <c r="H98" s="154"/>
      <c r="I98" s="171"/>
      <c r="L98" s="91"/>
      <c r="M98" s="153"/>
      <c r="N98" s="91"/>
      <c r="O98" s="153"/>
      <c r="P98" s="155"/>
      <c r="Q98" s="154"/>
    </row>
    <row r="99" spans="2:17" ht="15.75" x14ac:dyDescent="0.25">
      <c r="B99" s="144" t="s">
        <v>63</v>
      </c>
      <c r="C99" s="92">
        <f>SUM(C93:C97)</f>
        <v>76522.948857350202</v>
      </c>
      <c r="D99" s="153">
        <f>C99/$C$99</f>
        <v>1</v>
      </c>
      <c r="E99" s="92">
        <f>SUM(E93:E97)</f>
        <v>74785.530518031403</v>
      </c>
      <c r="F99" s="153">
        <f>E99/$E$99</f>
        <v>1</v>
      </c>
      <c r="G99" s="156">
        <f>C99-E99</f>
        <v>1737.4183393187996</v>
      </c>
      <c r="H99" s="157">
        <f>(C99/E99)-1</f>
        <v>2.3232011958514986E-2</v>
      </c>
      <c r="I99" s="171"/>
      <c r="K99" s="144" t="s">
        <v>63</v>
      </c>
      <c r="L99" s="92">
        <f>SUM(L93:L97)</f>
        <v>150945.82780400891</v>
      </c>
      <c r="M99" s="153">
        <f>L99/$L$99</f>
        <v>1</v>
      </c>
      <c r="N99" s="92">
        <f>SUM(N93:N97)</f>
        <v>148361.07400026268</v>
      </c>
      <c r="O99" s="153">
        <f>N99/$N$99</f>
        <v>1</v>
      </c>
      <c r="P99" s="156">
        <f>L99-N99</f>
        <v>2584.7538037462218</v>
      </c>
      <c r="Q99" s="157">
        <f>(L99/N99)-1</f>
        <v>1.7422048344983398E-2</v>
      </c>
    </row>
    <row r="100" spans="2:17" x14ac:dyDescent="0.2">
      <c r="C100" s="91">
        <v>0</v>
      </c>
      <c r="D100" s="158"/>
      <c r="E100" s="91">
        <v>0</v>
      </c>
      <c r="F100" s="158"/>
      <c r="G100" s="198"/>
      <c r="H100" s="154"/>
      <c r="I100" s="171"/>
      <c r="L100" s="91">
        <v>0</v>
      </c>
      <c r="M100" s="158"/>
      <c r="N100" s="91">
        <v>0</v>
      </c>
      <c r="O100" s="158"/>
      <c r="P100" s="198"/>
      <c r="Q100" s="154"/>
    </row>
    <row r="101" spans="2:17" ht="15.75" x14ac:dyDescent="0.25">
      <c r="B101" s="144" t="s">
        <v>64</v>
      </c>
      <c r="C101" s="92">
        <f>11337.1979908746*('2022 IR Data Book'!$A$5)</f>
        <v>11337.1979908746</v>
      </c>
      <c r="D101" s="153">
        <f>C101/$C$99</f>
        <v>0.14815422249355248</v>
      </c>
      <c r="E101" s="92">
        <f>7992.60694316303*('2022 IR Data Book'!$A$5)</f>
        <v>7992.6069431630303</v>
      </c>
      <c r="F101" s="153">
        <f>E101/$E$99</f>
        <v>0.10687370789241038</v>
      </c>
      <c r="G101" s="156">
        <f>C101-E101</f>
        <v>3344.5910477115694</v>
      </c>
      <c r="H101" s="157">
        <f>(C101/E101)-1</f>
        <v>0.41846059383322642</v>
      </c>
      <c r="I101" s="171"/>
      <c r="K101" s="144" t="s">
        <v>64</v>
      </c>
      <c r="L101" s="92">
        <f>19681.2518959965*('2022 IR Data Book'!$A$5)</f>
        <v>19681.251895996498</v>
      </c>
      <c r="M101" s="153">
        <f>L101/$L$99</f>
        <v>0.13038619339350691</v>
      </c>
      <c r="N101" s="92">
        <f>19956.4643693298*('2022 IR Data Book'!$A$5)</f>
        <v>19956.464369329799</v>
      </c>
      <c r="O101" s="153">
        <f>N101/$N$99</f>
        <v>0.13451280602952809</v>
      </c>
      <c r="P101" s="156">
        <f>L101-N101</f>
        <v>-275.2124733333003</v>
      </c>
      <c r="Q101" s="157">
        <f>(L101/N101)-1</f>
        <v>-1.3790642883428905E-2</v>
      </c>
    </row>
    <row r="102" spans="2:17" x14ac:dyDescent="0.2">
      <c r="I102" s="171"/>
    </row>
    <row r="103" spans="2:17" x14ac:dyDescent="0.2">
      <c r="B103" s="74" t="s">
        <v>257</v>
      </c>
      <c r="C103" s="169" t="str">
        <f>$C$6</f>
        <v>Q2'22</v>
      </c>
      <c r="D103" s="150"/>
      <c r="E103" s="169" t="str">
        <f>$E$6</f>
        <v>Q2'21</v>
      </c>
      <c r="G103" s="197" t="s">
        <v>56</v>
      </c>
      <c r="H103" s="169" t="s">
        <v>57</v>
      </c>
      <c r="I103" s="171"/>
      <c r="K103" s="74" t="s">
        <v>257</v>
      </c>
      <c r="L103" s="169" t="str">
        <f>$L$6</f>
        <v>Jun YTD 2022</v>
      </c>
      <c r="M103" s="150"/>
      <c r="N103" s="169" t="str">
        <f>$N$6</f>
        <v>Jun YTD 2021</v>
      </c>
      <c r="P103" s="197" t="s">
        <v>56</v>
      </c>
      <c r="Q103" s="169" t="s">
        <v>57</v>
      </c>
    </row>
    <row r="104" spans="2:17" ht="15.75" x14ac:dyDescent="0.25">
      <c r="B104" s="160" t="s">
        <v>258</v>
      </c>
      <c r="C104" s="87">
        <v>0</v>
      </c>
      <c r="D104" s="87"/>
      <c r="E104" s="87">
        <v>0</v>
      </c>
      <c r="F104" s="94"/>
      <c r="G104" s="155">
        <f t="shared" ref="G104:G106" si="36">C104-E104</f>
        <v>0</v>
      </c>
      <c r="H104" s="154" t="e">
        <f t="shared" ref="H104:H106" si="37">(C104/E104)-1</f>
        <v>#DIV/0!</v>
      </c>
      <c r="I104" s="172"/>
      <c r="K104" s="160" t="s">
        <v>258</v>
      </c>
      <c r="L104" s="87">
        <v>0</v>
      </c>
      <c r="M104" s="87"/>
      <c r="N104" s="87">
        <v>0</v>
      </c>
      <c r="O104" s="94"/>
      <c r="P104" s="155">
        <f t="shared" ref="P104:P106" si="38">L104-N104</f>
        <v>0</v>
      </c>
      <c r="Q104" s="154" t="e">
        <f t="shared" ref="Q104:Q106" si="39">(L104/N104)-1</f>
        <v>#DIV/0!</v>
      </c>
    </row>
    <row r="105" spans="2:17" ht="15.75" x14ac:dyDescent="0.25">
      <c r="B105" s="144" t="s">
        <v>58</v>
      </c>
      <c r="C105" s="170">
        <v>1186564</v>
      </c>
      <c r="D105" s="88"/>
      <c r="E105" s="170">
        <v>1192102</v>
      </c>
      <c r="F105" s="159"/>
      <c r="G105" s="155">
        <v>-5538</v>
      </c>
      <c r="H105" s="154">
        <v>-4.6455756302732354E-3</v>
      </c>
      <c r="I105" s="171"/>
      <c r="K105" s="144" t="s">
        <v>58</v>
      </c>
      <c r="L105" s="170">
        <v>2366289</v>
      </c>
      <c r="M105" s="88"/>
      <c r="N105" s="170">
        <v>2312092</v>
      </c>
      <c r="O105" s="159"/>
      <c r="P105" s="155">
        <v>54197</v>
      </c>
      <c r="Q105" s="154">
        <v>2.3440676236066826E-2</v>
      </c>
    </row>
    <row r="106" spans="2:17" x14ac:dyDescent="0.2">
      <c r="B106" s="163"/>
      <c r="C106" s="164">
        <f>C105+C104</f>
        <v>1186564</v>
      </c>
      <c r="D106" s="163"/>
      <c r="E106" s="164">
        <f>E105+E104</f>
        <v>1192102</v>
      </c>
      <c r="F106" s="163"/>
      <c r="G106" s="155">
        <f t="shared" si="36"/>
        <v>-5538</v>
      </c>
      <c r="H106" s="154">
        <f t="shared" si="37"/>
        <v>-4.6455756302732354E-3</v>
      </c>
      <c r="I106" s="173"/>
      <c r="K106" s="163"/>
      <c r="L106" s="164">
        <f>L105+L104</f>
        <v>2366289</v>
      </c>
      <c r="M106" s="163"/>
      <c r="N106" s="164">
        <f>N105+N104</f>
        <v>2312092</v>
      </c>
      <c r="O106" s="163"/>
      <c r="P106" s="155">
        <f t="shared" si="38"/>
        <v>54197</v>
      </c>
      <c r="Q106" s="154">
        <f t="shared" si="39"/>
        <v>2.3440676236066826E-2</v>
      </c>
    </row>
    <row r="107" spans="2:17" x14ac:dyDescent="0.2">
      <c r="I107" s="171"/>
    </row>
    <row r="108" spans="2:17" ht="18.75" x14ac:dyDescent="0.3">
      <c r="B108" s="149" t="s">
        <v>69</v>
      </c>
      <c r="I108" s="171"/>
      <c r="K108" s="149" t="s">
        <v>69</v>
      </c>
    </row>
    <row r="109" spans="2:17" x14ac:dyDescent="0.2">
      <c r="B109" s="60" t="str">
        <f>$B$3</f>
        <v xml:space="preserve">Q2'22 vs Q2'21 </v>
      </c>
      <c r="I109" s="171"/>
      <c r="K109" s="60" t="str">
        <f>$B$3</f>
        <v xml:space="preserve">Q2'22 vs Q2'21 </v>
      </c>
    </row>
    <row r="110" spans="2:17" x14ac:dyDescent="0.2">
      <c r="B110" s="52" t="s">
        <v>52</v>
      </c>
      <c r="I110" s="171"/>
      <c r="K110" s="52" t="s">
        <v>52</v>
      </c>
    </row>
    <row r="111" spans="2:17" x14ac:dyDescent="0.2">
      <c r="C111" s="169" t="s">
        <v>53</v>
      </c>
      <c r="D111" s="150"/>
      <c r="E111" s="169" t="s">
        <v>53</v>
      </c>
      <c r="I111" s="171"/>
      <c r="L111" s="169" t="s">
        <v>53</v>
      </c>
      <c r="M111" s="150"/>
      <c r="N111" s="169" t="s">
        <v>53</v>
      </c>
    </row>
    <row r="112" spans="2:17" x14ac:dyDescent="0.2">
      <c r="B112" s="151"/>
      <c r="C112" s="169" t="str">
        <f>$C$6</f>
        <v>Q2'22</v>
      </c>
      <c r="D112" s="150"/>
      <c r="E112" s="169" t="str">
        <f>$E$6</f>
        <v>Q2'21</v>
      </c>
      <c r="G112" s="197" t="s">
        <v>56</v>
      </c>
      <c r="H112" s="169" t="s">
        <v>57</v>
      </c>
      <c r="I112" s="171"/>
      <c r="K112" s="151"/>
      <c r="L112" s="169" t="str">
        <f>$L$6</f>
        <v>Jun YTD 2022</v>
      </c>
      <c r="M112" s="150"/>
      <c r="N112" s="169" t="str">
        <f>$N$6</f>
        <v>Jun YTD 2021</v>
      </c>
      <c r="P112" s="197" t="s">
        <v>56</v>
      </c>
      <c r="Q112" s="169" t="s">
        <v>57</v>
      </c>
    </row>
    <row r="113" spans="2:17" x14ac:dyDescent="0.2">
      <c r="H113" s="152"/>
      <c r="I113" s="171"/>
      <c r="Q113" s="152"/>
    </row>
    <row r="114" spans="2:17" x14ac:dyDescent="0.2">
      <c r="B114" s="21" t="s">
        <v>58</v>
      </c>
      <c r="C114" s="91">
        <f>87205.3396743053*('2022 IR Data Book'!$A$5)</f>
        <v>87205.339674305302</v>
      </c>
      <c r="D114" s="153">
        <f>C114/$C$120</f>
        <v>0.92208486043350413</v>
      </c>
      <c r="E114" s="91">
        <f>178136.484464898*('2022 IR Data Book'!$A$5)</f>
        <v>178136.48446489801</v>
      </c>
      <c r="F114" s="153">
        <f>E114/$E$120</f>
        <v>0.98942405043923021</v>
      </c>
      <c r="G114" s="155">
        <f>C114-E114</f>
        <v>-90931.144790592705</v>
      </c>
      <c r="H114" s="154">
        <f>(C114/E114)-1</f>
        <v>-0.51045772607301454</v>
      </c>
      <c r="I114" s="171"/>
      <c r="K114" s="21" t="s">
        <v>58</v>
      </c>
      <c r="L114" s="91">
        <f>169518.472942521*('2022 IR Data Book'!$A$5)</f>
        <v>169518.47294252101</v>
      </c>
      <c r="M114" s="153">
        <f>L114/$L$120</f>
        <v>0.93864168257614244</v>
      </c>
      <c r="N114" s="91">
        <f>315848.170753163*('2022 IR Data Book'!$A$5)</f>
        <v>315848.17075316299</v>
      </c>
      <c r="O114" s="153">
        <f>N114/$N$120</f>
        <v>0.98439532630221782</v>
      </c>
      <c r="P114" s="155">
        <f>L114-N114</f>
        <v>-146329.69781064198</v>
      </c>
      <c r="Q114" s="154">
        <f>(L114/N114)-1</f>
        <v>-0.46329126257628195</v>
      </c>
    </row>
    <row r="115" spans="2:17" x14ac:dyDescent="0.2">
      <c r="B115" s="21" t="s">
        <v>59</v>
      </c>
      <c r="C115" s="91">
        <f>84.1466441592306*('2022 IR Data Book'!$A$5)</f>
        <v>84.146644159230604</v>
      </c>
      <c r="D115" s="153">
        <f t="shared" ref="D115:D118" si="40">C115/$C$120</f>
        <v>8.8974306992320072E-4</v>
      </c>
      <c r="E115" s="91">
        <f>9.66128752230768*('2022 IR Data Book'!$A$5)</f>
        <v>9.6612875223076795</v>
      </c>
      <c r="F115" s="153">
        <f t="shared" ref="F115:F118" si="41">E115/$E$120</f>
        <v>5.3661720458300013E-5</v>
      </c>
      <c r="G115" s="155">
        <f t="shared" ref="G115:G118" si="42">C115-E115</f>
        <v>74.48535663692293</v>
      </c>
      <c r="H115" s="154">
        <f>(C115/E115)-1</f>
        <v>7.7096718698142492</v>
      </c>
      <c r="I115" s="171"/>
      <c r="K115" s="21" t="s">
        <v>59</v>
      </c>
      <c r="L115" s="91">
        <f>157.21292699*('2022 IR Data Book'!$A$5)</f>
        <v>157.21292699</v>
      </c>
      <c r="M115" s="153">
        <f>L115/$L$120</f>
        <v>8.7050457540783512E-4</v>
      </c>
      <c r="N115" s="91">
        <f>19.7838865638461*('2022 IR Data Book'!$A$5)</f>
        <v>19.783886563846099</v>
      </c>
      <c r="O115" s="153">
        <f>N115/$N$120</f>
        <v>6.1659896345460515E-5</v>
      </c>
      <c r="P115" s="155">
        <f t="shared" ref="P115:P118" si="43">L115-N115</f>
        <v>137.4290404261539</v>
      </c>
      <c r="Q115" s="154">
        <f>(L115/N115)-1</f>
        <v>6.9465137693064554</v>
      </c>
    </row>
    <row r="116" spans="2:17" x14ac:dyDescent="0.2">
      <c r="B116" s="21" t="s">
        <v>60</v>
      </c>
      <c r="C116" s="91">
        <f>7016.99188583076*('2022 IR Data Book'!$A$5)</f>
        <v>7016.9918858307601</v>
      </c>
      <c r="D116" s="153">
        <f t="shared" si="40"/>
        <v>7.4195708747588587E-2</v>
      </c>
      <c r="E116" s="91">
        <f>1815.68450495923*('2022 IR Data Book'!$A$5)</f>
        <v>1815.68450495923</v>
      </c>
      <c r="F116" s="153">
        <f t="shared" si="41"/>
        <v>1.0084862304389468E-2</v>
      </c>
      <c r="G116" s="85">
        <f t="shared" si="42"/>
        <v>5201.3073808715299</v>
      </c>
      <c r="H116" s="86">
        <f>(C116/E116)-1</f>
        <v>2.8646537251736484</v>
      </c>
      <c r="I116" s="171"/>
      <c r="K116" s="21" t="s">
        <v>60</v>
      </c>
      <c r="L116" s="91">
        <f>10439.2846086308*('2022 IR Data Book'!$A$5)</f>
        <v>10439.2846086308</v>
      </c>
      <c r="M116" s="153">
        <f>L116/$L$120</f>
        <v>5.7803421065849993E-2</v>
      </c>
      <c r="N116" s="91">
        <f>4810.26124078999*('2022 IR Data Book'!$A$5)</f>
        <v>4810.2612407899896</v>
      </c>
      <c r="O116" s="153">
        <f>N116/$N$120</f>
        <v>1.4992009206306138E-2</v>
      </c>
      <c r="P116" s="85">
        <f t="shared" si="43"/>
        <v>5629.0233678408104</v>
      </c>
      <c r="Q116" s="86">
        <f>(L116/N116)-1</f>
        <v>1.1702115719013122</v>
      </c>
    </row>
    <row r="117" spans="2:17" x14ac:dyDescent="0.2">
      <c r="B117" s="21" t="s">
        <v>61</v>
      </c>
      <c r="C117" s="91">
        <f>267.615153345384*('2022 IR Data Book'!$A$5)</f>
        <v>267.61515334538399</v>
      </c>
      <c r="D117" s="153">
        <f t="shared" si="40"/>
        <v>2.8296877489839898E-3</v>
      </c>
      <c r="E117" s="91">
        <f>78.7543492092306*('2022 IR Data Book'!$A$5)</f>
        <v>78.754349209230597</v>
      </c>
      <c r="F117" s="153">
        <f t="shared" si="41"/>
        <v>4.374255359219073E-4</v>
      </c>
      <c r="G117" s="155">
        <f t="shared" si="42"/>
        <v>188.86080413615338</v>
      </c>
      <c r="H117" s="154">
        <f>(C117/E117)-1</f>
        <v>2.398099991079826</v>
      </c>
      <c r="I117" s="171"/>
      <c r="K117" s="21" t="s">
        <v>61</v>
      </c>
      <c r="L117" s="91">
        <f>484.800541263845*('2022 IR Data Book'!$A$5)</f>
        <v>484.80054126384499</v>
      </c>
      <c r="M117" s="153">
        <f>L117/$L$120</f>
        <v>2.684391782599506E-3</v>
      </c>
      <c r="N117" s="91">
        <f>176.792584034615*('2022 IR Data Book'!$A$5)</f>
        <v>176.792584034615</v>
      </c>
      <c r="O117" s="153">
        <f>N117/$N$120</f>
        <v>5.5100459513053634E-4</v>
      </c>
      <c r="P117" s="155">
        <f t="shared" si="43"/>
        <v>308.00795722922999</v>
      </c>
      <c r="Q117" s="154">
        <f>(L117/N117)-1</f>
        <v>1.7421995323566497</v>
      </c>
    </row>
    <row r="118" spans="2:17" x14ac:dyDescent="0.2">
      <c r="B118" s="21" t="s">
        <v>62</v>
      </c>
      <c r="C118" s="91">
        <f>0*('2022 IR Data Book'!$A$5)</f>
        <v>0</v>
      </c>
      <c r="D118" s="153">
        <f t="shared" si="40"/>
        <v>0</v>
      </c>
      <c r="E118" s="91">
        <f>0*('2022 IR Data Book'!$A$5)</f>
        <v>0</v>
      </c>
      <c r="F118" s="153">
        <f t="shared" si="41"/>
        <v>0</v>
      </c>
      <c r="G118" s="155">
        <f t="shared" si="42"/>
        <v>0</v>
      </c>
      <c r="H118" s="154" t="e">
        <f>(C118/E118)-1</f>
        <v>#DIV/0!</v>
      </c>
      <c r="I118" s="171"/>
      <c r="K118" s="21" t="s">
        <v>62</v>
      </c>
      <c r="L118" s="91">
        <f>0*('2022 IR Data Book'!$A$5)</f>
        <v>0</v>
      </c>
      <c r="M118" s="153">
        <f>L118/$L$120</f>
        <v>0</v>
      </c>
      <c r="N118" s="91">
        <f>0*('2022 IR Data Book'!$A$5)</f>
        <v>0</v>
      </c>
      <c r="O118" s="153">
        <f>N118/$N$120</f>
        <v>0</v>
      </c>
      <c r="P118" s="155">
        <f t="shared" si="43"/>
        <v>0</v>
      </c>
      <c r="Q118" s="154" t="e">
        <f>(L118/N118)-1</f>
        <v>#DIV/0!</v>
      </c>
    </row>
    <row r="119" spans="2:17" x14ac:dyDescent="0.2">
      <c r="C119" s="91"/>
      <c r="D119" s="153"/>
      <c r="E119" s="91"/>
      <c r="F119" s="153"/>
      <c r="G119" s="155"/>
      <c r="H119" s="154"/>
      <c r="I119" s="171"/>
      <c r="L119" s="91"/>
      <c r="M119" s="153"/>
      <c r="N119" s="91"/>
      <c r="O119" s="153"/>
      <c r="P119" s="155"/>
      <c r="Q119" s="154"/>
    </row>
    <row r="120" spans="2:17" ht="15.75" x14ac:dyDescent="0.25">
      <c r="B120" s="144" t="s">
        <v>63</v>
      </c>
      <c r="C120" s="92">
        <f>SUM(C114:C118)</f>
        <v>94574.093357640682</v>
      </c>
      <c r="D120" s="153">
        <f>C120/$C$120</f>
        <v>1</v>
      </c>
      <c r="E120" s="92">
        <f>SUM(E114:E118)</f>
        <v>180040.58460658879</v>
      </c>
      <c r="F120" s="153">
        <f>E120/$E$120</f>
        <v>1</v>
      </c>
      <c r="G120" s="156">
        <f>C120-E120</f>
        <v>-85466.491248948107</v>
      </c>
      <c r="H120" s="157">
        <f>(C120/E120)-1</f>
        <v>-0.4747068081105329</v>
      </c>
      <c r="I120" s="171"/>
      <c r="K120" s="144" t="s">
        <v>63</v>
      </c>
      <c r="L120" s="92">
        <f>SUM(L114:L118)</f>
        <v>180599.77101940569</v>
      </c>
      <c r="M120" s="153">
        <f>L120/$L$120</f>
        <v>1</v>
      </c>
      <c r="N120" s="92">
        <f>SUM(N114:N118)</f>
        <v>320855.00846455147</v>
      </c>
      <c r="O120" s="153">
        <f>N120/$N$120</f>
        <v>1</v>
      </c>
      <c r="P120" s="156">
        <f>L120-N120</f>
        <v>-140255.23744514579</v>
      </c>
      <c r="Q120" s="157">
        <f>(L120/N120)-1</f>
        <v>-0.43712964967053458</v>
      </c>
    </row>
    <row r="121" spans="2:17" x14ac:dyDescent="0.2">
      <c r="C121" s="91">
        <v>0</v>
      </c>
      <c r="D121" s="158"/>
      <c r="E121" s="91">
        <v>0</v>
      </c>
      <c r="F121" s="158"/>
      <c r="G121" s="198"/>
      <c r="H121" s="154"/>
      <c r="I121" s="171"/>
      <c r="L121" s="91">
        <v>0</v>
      </c>
      <c r="M121" s="158"/>
      <c r="N121" s="91">
        <v>0</v>
      </c>
      <c r="O121" s="158"/>
      <c r="P121" s="198"/>
      <c r="Q121" s="154"/>
    </row>
    <row r="122" spans="2:17" ht="15.75" x14ac:dyDescent="0.25">
      <c r="B122" s="144" t="s">
        <v>64</v>
      </c>
      <c r="C122" s="92">
        <f>25973.035950963*('2022 IR Data Book'!$A$5)</f>
        <v>25973.035950963</v>
      </c>
      <c r="D122" s="153">
        <f>C122/$C$120</f>
        <v>0.27463161452411244</v>
      </c>
      <c r="E122" s="92">
        <f>50413.5214135368*('2022 IR Data Book'!$A$5)</f>
        <v>50413.521413536801</v>
      </c>
      <c r="F122" s="153">
        <f>E122/$E$120</f>
        <v>0.28001198465166427</v>
      </c>
      <c r="G122" s="156">
        <f>C122-E122</f>
        <v>-24440.485462573801</v>
      </c>
      <c r="H122" s="157">
        <f>(C122/E122)-1</f>
        <v>-0.48480020393915901</v>
      </c>
      <c r="I122" s="171"/>
      <c r="K122" s="144" t="s">
        <v>64</v>
      </c>
      <c r="L122" s="92">
        <f>51140.6416801353*('2022 IR Data Book'!$A$5)</f>
        <v>51140.641680135297</v>
      </c>
      <c r="M122" s="153">
        <f>L122/$L$120</f>
        <v>0.2831711324519906</v>
      </c>
      <c r="N122" s="92">
        <f>92024.7431841937*('2022 IR Data Book'!$A$5)</f>
        <v>92024.743184193707</v>
      </c>
      <c r="O122" s="153">
        <f>N122/$N$120</f>
        <v>0.2868109917453906</v>
      </c>
      <c r="P122" s="156">
        <f>L122-N122</f>
        <v>-40884.10150405841</v>
      </c>
      <c r="Q122" s="157">
        <f>(L122/N122)-1</f>
        <v>-0.44427292149271347</v>
      </c>
    </row>
    <row r="123" spans="2:17" x14ac:dyDescent="0.2">
      <c r="I123" s="171"/>
    </row>
    <row r="124" spans="2:17" x14ac:dyDescent="0.2">
      <c r="B124" s="74" t="s">
        <v>257</v>
      </c>
      <c r="C124" s="169" t="str">
        <f>$C$6</f>
        <v>Q2'22</v>
      </c>
      <c r="D124" s="150"/>
      <c r="E124" s="169" t="str">
        <f>$E$6</f>
        <v>Q2'21</v>
      </c>
      <c r="G124" s="197" t="s">
        <v>56</v>
      </c>
      <c r="H124" s="169" t="s">
        <v>57</v>
      </c>
      <c r="I124" s="171"/>
      <c r="K124" s="74" t="s">
        <v>257</v>
      </c>
      <c r="L124" s="169" t="str">
        <f>$L$6</f>
        <v>Jun YTD 2022</v>
      </c>
      <c r="M124" s="150"/>
      <c r="N124" s="169" t="str">
        <f>$N$6</f>
        <v>Jun YTD 2021</v>
      </c>
      <c r="P124" s="197" t="s">
        <v>56</v>
      </c>
      <c r="Q124" s="169" t="s">
        <v>57</v>
      </c>
    </row>
    <row r="125" spans="2:17" ht="15.75" x14ac:dyDescent="0.25">
      <c r="B125" s="160" t="s">
        <v>258</v>
      </c>
      <c r="C125" s="87">
        <v>213</v>
      </c>
      <c r="D125" s="87"/>
      <c r="E125" s="87">
        <v>141</v>
      </c>
      <c r="F125" s="94"/>
      <c r="G125" s="155">
        <f t="shared" ref="G125:G127" si="44">C125-E125</f>
        <v>72</v>
      </c>
      <c r="H125" s="154">
        <f t="shared" ref="H125:H127" si="45">(C125/E125)-1</f>
        <v>0.5106382978723405</v>
      </c>
      <c r="I125" s="172"/>
      <c r="K125" s="160" t="s">
        <v>258</v>
      </c>
      <c r="L125" s="87">
        <v>642</v>
      </c>
      <c r="M125" s="87"/>
      <c r="N125" s="87">
        <v>375</v>
      </c>
      <c r="O125" s="94"/>
      <c r="P125" s="155">
        <f t="shared" ref="P125:P127" si="46">L125-N125</f>
        <v>267</v>
      </c>
      <c r="Q125" s="154">
        <f t="shared" ref="Q125:Q127" si="47">(L125/N125)-1</f>
        <v>0.71199999999999997</v>
      </c>
    </row>
    <row r="126" spans="2:17" ht="15.75" x14ac:dyDescent="0.25">
      <c r="B126" s="144" t="s">
        <v>58</v>
      </c>
      <c r="C126" s="170">
        <v>492057</v>
      </c>
      <c r="D126" s="88"/>
      <c r="E126" s="170">
        <v>1109500</v>
      </c>
      <c r="F126" s="159"/>
      <c r="G126" s="155">
        <v>-617443</v>
      </c>
      <c r="H126" s="154">
        <v>-0.55650563316809376</v>
      </c>
      <c r="I126" s="171"/>
      <c r="K126" s="144" t="s">
        <v>58</v>
      </c>
      <c r="L126" s="170">
        <v>866955</v>
      </c>
      <c r="M126" s="88"/>
      <c r="N126" s="170">
        <v>1950219</v>
      </c>
      <c r="O126" s="159"/>
      <c r="P126" s="155">
        <v>-1083264</v>
      </c>
      <c r="Q126" s="154">
        <v>-0.55545761783676606</v>
      </c>
    </row>
    <row r="127" spans="2:17" x14ac:dyDescent="0.2">
      <c r="B127" s="163"/>
      <c r="C127" s="164">
        <f>C126+C125</f>
        <v>492270</v>
      </c>
      <c r="D127" s="163"/>
      <c r="E127" s="164">
        <f>E126+E125</f>
        <v>1109641</v>
      </c>
      <c r="F127" s="163"/>
      <c r="G127" s="155">
        <f t="shared" si="44"/>
        <v>-617371</v>
      </c>
      <c r="H127" s="154">
        <f t="shared" si="45"/>
        <v>-0.55637003319091494</v>
      </c>
      <c r="I127" s="173"/>
      <c r="K127" s="163"/>
      <c r="L127" s="164">
        <f>L126+L125</f>
        <v>867597</v>
      </c>
      <c r="M127" s="163"/>
      <c r="N127" s="164">
        <f>N126+N125</f>
        <v>1950594</v>
      </c>
      <c r="O127" s="163"/>
      <c r="P127" s="155">
        <f t="shared" si="46"/>
        <v>-1082997</v>
      </c>
      <c r="Q127" s="154">
        <f t="shared" si="47"/>
        <v>-0.55521395021208919</v>
      </c>
    </row>
    <row r="128" spans="2:17" x14ac:dyDescent="0.2">
      <c r="I128" s="171"/>
    </row>
    <row r="129" spans="2:17" ht="18.75" x14ac:dyDescent="0.3">
      <c r="B129" s="149" t="s">
        <v>70</v>
      </c>
      <c r="I129" s="171"/>
      <c r="K129" s="149" t="s">
        <v>70</v>
      </c>
    </row>
    <row r="130" spans="2:17" x14ac:dyDescent="0.2">
      <c r="B130" s="60" t="str">
        <f>$B$3</f>
        <v xml:space="preserve">Q2'22 vs Q2'21 </v>
      </c>
      <c r="I130" s="171"/>
      <c r="K130" s="60" t="str">
        <f>$B$3</f>
        <v xml:space="preserve">Q2'22 vs Q2'21 </v>
      </c>
    </row>
    <row r="131" spans="2:17" x14ac:dyDescent="0.2">
      <c r="B131" s="52" t="s">
        <v>52</v>
      </c>
      <c r="I131" s="171"/>
      <c r="K131" s="52" t="s">
        <v>52</v>
      </c>
    </row>
    <row r="132" spans="2:17" x14ac:dyDescent="0.2">
      <c r="C132" s="169" t="s">
        <v>53</v>
      </c>
      <c r="D132" s="150"/>
      <c r="E132" s="169" t="s">
        <v>53</v>
      </c>
      <c r="I132" s="171"/>
      <c r="L132" s="169" t="s">
        <v>53</v>
      </c>
      <c r="M132" s="150"/>
      <c r="N132" s="169" t="s">
        <v>53</v>
      </c>
    </row>
    <row r="133" spans="2:17" x14ac:dyDescent="0.2">
      <c r="B133" s="151"/>
      <c r="C133" s="169" t="str">
        <f>$C$6</f>
        <v>Q2'22</v>
      </c>
      <c r="D133" s="150"/>
      <c r="E133" s="169" t="str">
        <f>$E$6</f>
        <v>Q2'21</v>
      </c>
      <c r="G133" s="197" t="s">
        <v>56</v>
      </c>
      <c r="H133" s="169" t="s">
        <v>57</v>
      </c>
      <c r="I133" s="171"/>
      <c r="K133" s="151"/>
      <c r="L133" s="169" t="str">
        <f>$L$6</f>
        <v>Jun YTD 2022</v>
      </c>
      <c r="M133" s="150"/>
      <c r="N133" s="169" t="str">
        <f>$N$6</f>
        <v>Jun YTD 2021</v>
      </c>
      <c r="P133" s="197" t="s">
        <v>56</v>
      </c>
      <c r="Q133" s="169" t="s">
        <v>57</v>
      </c>
    </row>
    <row r="134" spans="2:17" x14ac:dyDescent="0.2">
      <c r="H134" s="152"/>
      <c r="I134" s="171"/>
      <c r="Q134" s="152"/>
    </row>
    <row r="135" spans="2:17" x14ac:dyDescent="0.2">
      <c r="B135" s="21" t="s">
        <v>58</v>
      </c>
      <c r="C135" s="91">
        <f>102020.523961343*('2022 IR Data Book'!$A$5)</f>
        <v>102020.523961343</v>
      </c>
      <c r="D135" s="153">
        <f>C135/$C$141</f>
        <v>0.75921974877905374</v>
      </c>
      <c r="E135" s="91">
        <f>101479.556347397*('2022 IR Data Book'!$A$5)</f>
        <v>101479.556347397</v>
      </c>
      <c r="F135" s="153">
        <f>E135/$E$141</f>
        <v>0.79742510571823844</v>
      </c>
      <c r="G135" s="155">
        <f>C135-E135</f>
        <v>540.96761394600617</v>
      </c>
      <c r="H135" s="154">
        <f>(C135/E135)-1</f>
        <v>5.330803892107161E-3</v>
      </c>
      <c r="I135" s="171"/>
      <c r="K135" s="21" t="s">
        <v>58</v>
      </c>
      <c r="L135" s="91">
        <f>196471.549140914*('2022 IR Data Book'!$A$5)</f>
        <v>196471.54914091399</v>
      </c>
      <c r="M135" s="153">
        <f>L135/$L$141</f>
        <v>0.75983031713830296</v>
      </c>
      <c r="N135" s="91">
        <f>183784.683816869*('2022 IR Data Book'!$A$5)</f>
        <v>183784.68381686899</v>
      </c>
      <c r="O135" s="153">
        <f>N135/$N$141</f>
        <v>0.7743804260462166</v>
      </c>
      <c r="P135" s="155">
        <f>L135-N135</f>
        <v>12686.865324045008</v>
      </c>
      <c r="Q135" s="154">
        <f>(L135/N135)-1</f>
        <v>6.9031135024759438E-2</v>
      </c>
    </row>
    <row r="136" spans="2:17" x14ac:dyDescent="0.2">
      <c r="B136" s="21" t="s">
        <v>59</v>
      </c>
      <c r="C136" s="91">
        <f>3563.78924164077*('2022 IR Data Book'!$A$5)</f>
        <v>3563.7892416407699</v>
      </c>
      <c r="D136" s="153">
        <f t="shared" ref="D136:D139" si="48">C136/$C$141</f>
        <v>2.6521126021321229E-2</v>
      </c>
      <c r="E136" s="91">
        <f>2797.62687586563*('2022 IR Data Book'!$A$5)</f>
        <v>2797.6268758656302</v>
      </c>
      <c r="F136" s="153">
        <f t="shared" ref="F136:F139" si="49">E136/$E$141</f>
        <v>2.1983717583571784E-2</v>
      </c>
      <c r="G136" s="155">
        <f t="shared" ref="G136:G139" si="50">C136-E136</f>
        <v>766.16236577513973</v>
      </c>
      <c r="H136" s="154">
        <f>(C136/E136)-1</f>
        <v>0.27386152613295756</v>
      </c>
      <c r="I136" s="171"/>
      <c r="K136" s="21" t="s">
        <v>59</v>
      </c>
      <c r="L136" s="91">
        <f>7082.50283655379*('2022 IR Data Book'!$A$5)</f>
        <v>7082.5028365537901</v>
      </c>
      <c r="M136" s="153">
        <f>L136/$L$141</f>
        <v>2.7390736215816461E-2</v>
      </c>
      <c r="N136" s="91">
        <f>5649.70733753661*('2022 IR Data Book'!$A$5)</f>
        <v>5649.7073375366099</v>
      </c>
      <c r="O136" s="153">
        <f>N136/$N$141</f>
        <v>2.3805154402515381E-2</v>
      </c>
      <c r="P136" s="155">
        <f t="shared" ref="P136:P139" si="51">L136-N136</f>
        <v>1432.7954990171802</v>
      </c>
      <c r="Q136" s="154">
        <f>(L136/N136)-1</f>
        <v>0.25360526013404239</v>
      </c>
    </row>
    <row r="137" spans="2:17" x14ac:dyDescent="0.2">
      <c r="B137" s="21" t="s">
        <v>60</v>
      </c>
      <c r="C137" s="91">
        <f>23131.2792886066*('2022 IR Data Book'!$A$5)</f>
        <v>23131.279288606602</v>
      </c>
      <c r="D137" s="153">
        <f t="shared" si="48"/>
        <v>0.17213912817276272</v>
      </c>
      <c r="E137" s="91">
        <f>18133.1991787496*('2022 IR Data Book'!$A$5)</f>
        <v>18133.199178749601</v>
      </c>
      <c r="F137" s="153">
        <f t="shared" si="49"/>
        <v>0.14249045613309066</v>
      </c>
      <c r="G137" s="85">
        <f t="shared" si="50"/>
        <v>4998.0801098570009</v>
      </c>
      <c r="H137" s="86">
        <f>(C137/E137)-1</f>
        <v>0.27563145700810909</v>
      </c>
      <c r="I137" s="171"/>
      <c r="K137" s="21" t="s">
        <v>60</v>
      </c>
      <c r="L137" s="91">
        <f>44062.7547277583*('2022 IR Data Book'!$A$5)</f>
        <v>44062.7547277583</v>
      </c>
      <c r="M137" s="153">
        <f>L137/$L$141</f>
        <v>0.17040745616947853</v>
      </c>
      <c r="N137" s="91">
        <f>38276.341551403*('2022 IR Data Book'!$A$5)</f>
        <v>38276.341551402998</v>
      </c>
      <c r="O137" s="153">
        <f>N137/$N$141</f>
        <v>0.16127812754843587</v>
      </c>
      <c r="P137" s="85">
        <f t="shared" si="51"/>
        <v>5786.4131763553014</v>
      </c>
      <c r="Q137" s="86">
        <f>(L137/N137)-1</f>
        <v>0.15117466669546964</v>
      </c>
    </row>
    <row r="138" spans="2:17" x14ac:dyDescent="0.2">
      <c r="B138" s="21" t="s">
        <v>61</v>
      </c>
      <c r="C138" s="91">
        <f>5391.61088354446*('2022 IR Data Book'!$A$5)</f>
        <v>5391.6108835444602</v>
      </c>
      <c r="D138" s="153">
        <f t="shared" si="48"/>
        <v>4.0123470274178265E-2</v>
      </c>
      <c r="E138" s="91">
        <f>4764.37872392065*('2022 IR Data Book'!$A$5)</f>
        <v>4764.3787239206504</v>
      </c>
      <c r="F138" s="153">
        <f t="shared" si="49"/>
        <v>3.7438429417233091E-2</v>
      </c>
      <c r="G138" s="155">
        <f t="shared" si="50"/>
        <v>627.23215962380982</v>
      </c>
      <c r="H138" s="154">
        <f>(C138/E138)-1</f>
        <v>0.13165035694468363</v>
      </c>
      <c r="I138" s="171"/>
      <c r="K138" s="21" t="s">
        <v>61</v>
      </c>
      <c r="L138" s="91">
        <f>10398.0883909169*('2022 IR Data Book'!$A$5)</f>
        <v>10398.088390916901</v>
      </c>
      <c r="M138" s="153">
        <f>L138/$L$141</f>
        <v>4.0213368471156447E-2</v>
      </c>
      <c r="N138" s="91">
        <f>9325.07717428735*('2022 IR Data Book'!$A$5)</f>
        <v>9325.0771742873494</v>
      </c>
      <c r="O138" s="153">
        <f>N138/$N$141</f>
        <v>3.9291398418890885E-2</v>
      </c>
      <c r="P138" s="155">
        <f t="shared" si="51"/>
        <v>1073.0112166295512</v>
      </c>
      <c r="Q138" s="154">
        <f>(L138/N138)-1</f>
        <v>0.11506727468038935</v>
      </c>
    </row>
    <row r="139" spans="2:17" x14ac:dyDescent="0.2">
      <c r="B139" s="21" t="s">
        <v>62</v>
      </c>
      <c r="C139" s="91">
        <f>268.284255960468*('2022 IR Data Book'!$A$5)</f>
        <v>268.28425596046799</v>
      </c>
      <c r="D139" s="153">
        <f t="shared" si="48"/>
        <v>1.9965267526842107E-3</v>
      </c>
      <c r="E139" s="91">
        <f>84.2825381045793*('2022 IR Data Book'!$A$5)</f>
        <v>84.282538104579302</v>
      </c>
      <c r="F139" s="153">
        <f t="shared" si="49"/>
        <v>6.6229114786595686E-4</v>
      </c>
      <c r="G139" s="155">
        <f t="shared" si="50"/>
        <v>184.00171785588867</v>
      </c>
      <c r="H139" s="154">
        <f>(C139/E139)-1</f>
        <v>2.1831534976744056</v>
      </c>
      <c r="I139" s="171"/>
      <c r="K139" s="21" t="s">
        <v>62</v>
      </c>
      <c r="L139" s="91">
        <f>558.031923762422*('2022 IR Data Book'!$A$5)</f>
        <v>558.03192376242202</v>
      </c>
      <c r="M139" s="153">
        <f>L139/$L$141</f>
        <v>2.1581220052455984E-3</v>
      </c>
      <c r="N139" s="91">
        <f>295.452165389099*('2022 IR Data Book'!$A$5)</f>
        <v>295.45216538909898</v>
      </c>
      <c r="O139" s="153">
        <f>N139/$N$141</f>
        <v>1.2448935839412295E-3</v>
      </c>
      <c r="P139" s="155">
        <f t="shared" si="51"/>
        <v>262.57975837332305</v>
      </c>
      <c r="Q139" s="154">
        <f>(L139/N139)-1</f>
        <v>0.88873864920744694</v>
      </c>
    </row>
    <row r="140" spans="2:17" x14ac:dyDescent="0.2">
      <c r="C140" s="91"/>
      <c r="D140" s="153"/>
      <c r="E140" s="91"/>
      <c r="F140" s="153"/>
      <c r="G140" s="155"/>
      <c r="H140" s="154"/>
      <c r="I140" s="171"/>
      <c r="L140" s="91"/>
      <c r="M140" s="153"/>
      <c r="N140" s="91"/>
      <c r="O140" s="153"/>
      <c r="P140" s="155"/>
      <c r="Q140" s="154"/>
    </row>
    <row r="141" spans="2:17" ht="15.75" x14ac:dyDescent="0.25">
      <c r="B141" s="144" t="s">
        <v>63</v>
      </c>
      <c r="C141" s="92">
        <f>SUM(C135:C139)</f>
        <v>134375.48763109528</v>
      </c>
      <c r="D141" s="153">
        <f>C141/$C$141</f>
        <v>1</v>
      </c>
      <c r="E141" s="92">
        <f>SUM(E135:E139)</f>
        <v>127259.04366403747</v>
      </c>
      <c r="F141" s="153">
        <f>E141/$E$141</f>
        <v>1</v>
      </c>
      <c r="G141" s="156">
        <f>C141-E141</f>
        <v>7116.443967057814</v>
      </c>
      <c r="H141" s="157">
        <f>(C141/E141)-1</f>
        <v>5.5920929170622635E-2</v>
      </c>
      <c r="I141" s="171"/>
      <c r="K141" s="144" t="s">
        <v>63</v>
      </c>
      <c r="L141" s="92">
        <f>SUM(L135:L139)</f>
        <v>258572.92701990542</v>
      </c>
      <c r="M141" s="153">
        <f>L141/$L$141</f>
        <v>1</v>
      </c>
      <c r="N141" s="92">
        <f>SUM(N135:N139)</f>
        <v>237331.26204548505</v>
      </c>
      <c r="O141" s="153">
        <f>N141/$N$141</f>
        <v>1</v>
      </c>
      <c r="P141" s="156">
        <f>L141-N141</f>
        <v>21241.664974420361</v>
      </c>
      <c r="Q141" s="157">
        <f>(L141/N141)-1</f>
        <v>8.950217847975428E-2</v>
      </c>
    </row>
    <row r="142" spans="2:17" x14ac:dyDescent="0.2">
      <c r="C142" s="91">
        <v>0</v>
      </c>
      <c r="D142" s="158"/>
      <c r="E142" s="91">
        <v>0</v>
      </c>
      <c r="F142" s="158"/>
      <c r="G142" s="198"/>
      <c r="H142" s="154"/>
      <c r="I142" s="171"/>
      <c r="L142" s="91">
        <v>0</v>
      </c>
      <c r="M142" s="158"/>
      <c r="N142" s="91">
        <v>0</v>
      </c>
      <c r="O142" s="158"/>
      <c r="P142" s="198"/>
      <c r="Q142" s="154"/>
    </row>
    <row r="143" spans="2:17" ht="15.75" x14ac:dyDescent="0.25">
      <c r="B143" s="144" t="s">
        <v>64</v>
      </c>
      <c r="C143" s="92">
        <f>19779.3884173952*('2022 IR Data Book'!$A$5)</f>
        <v>19779.388417395199</v>
      </c>
      <c r="D143" s="153">
        <f>C143/$C$141</f>
        <v>0.14719491453453251</v>
      </c>
      <c r="E143" s="92">
        <f>17916.4180118928*('2022 IR Data Book'!$A$5)</f>
        <v>17916.418011892802</v>
      </c>
      <c r="F143" s="153">
        <f>E143/$E$141</f>
        <v>0.1407869923900415</v>
      </c>
      <c r="G143" s="156">
        <f>C143-E143</f>
        <v>1862.9704055023976</v>
      </c>
      <c r="H143" s="157">
        <f>(C143/E143)-1</f>
        <v>0.10398118665604761</v>
      </c>
      <c r="I143" s="171"/>
      <c r="K143" s="144" t="s">
        <v>64</v>
      </c>
      <c r="L143" s="92">
        <f>35342.9078756592*('2022 IR Data Book'!$A$5)</f>
        <v>35342.907875659199</v>
      </c>
      <c r="M143" s="153">
        <f>L143/$L$141</f>
        <v>0.13668448697623489</v>
      </c>
      <c r="N143" s="92">
        <f>36666.8738679745*('2022 IR Data Book'!$A$5)</f>
        <v>36666.8738679745</v>
      </c>
      <c r="O143" s="153">
        <f>N143/$N$141</f>
        <v>0.15449660340552698</v>
      </c>
      <c r="P143" s="156">
        <f>L143-N143</f>
        <v>-1323.9659923153013</v>
      </c>
      <c r="Q143" s="157">
        <f>(L143/N143)-1</f>
        <v>-3.6107959382697064E-2</v>
      </c>
    </row>
    <row r="144" spans="2:17" x14ac:dyDescent="0.2">
      <c r="I144" s="171"/>
    </row>
    <row r="145" spans="2:17" x14ac:dyDescent="0.2">
      <c r="B145" s="74" t="s">
        <v>257</v>
      </c>
      <c r="C145" s="169" t="str">
        <f>$C$6</f>
        <v>Q2'22</v>
      </c>
      <c r="D145" s="150"/>
      <c r="E145" s="169" t="str">
        <f>$E$6</f>
        <v>Q2'21</v>
      </c>
      <c r="G145" s="197" t="s">
        <v>56</v>
      </c>
      <c r="H145" s="169" t="s">
        <v>57</v>
      </c>
      <c r="I145" s="171"/>
      <c r="K145" s="74" t="s">
        <v>257</v>
      </c>
      <c r="L145" s="169" t="str">
        <f>$L$6</f>
        <v>Jun YTD 2022</v>
      </c>
      <c r="M145" s="150"/>
      <c r="N145" s="169" t="str">
        <f>$N$6</f>
        <v>Jun YTD 2021</v>
      </c>
      <c r="P145" s="197" t="s">
        <v>56</v>
      </c>
      <c r="Q145" s="169" t="s">
        <v>57</v>
      </c>
    </row>
    <row r="146" spans="2:17" ht="15.75" x14ac:dyDescent="0.25">
      <c r="B146" s="160" t="s">
        <v>258</v>
      </c>
      <c r="C146" s="87">
        <v>297425</v>
      </c>
      <c r="D146" s="87"/>
      <c r="E146" s="87">
        <v>267977</v>
      </c>
      <c r="F146" s="94"/>
      <c r="G146" s="155">
        <f t="shared" ref="G146:G148" si="52">C146-E146</f>
        <v>29448</v>
      </c>
      <c r="H146" s="154">
        <f t="shared" ref="H146:H148" si="53">(C146/E146)-1</f>
        <v>0.1098900278755266</v>
      </c>
      <c r="I146" s="172"/>
      <c r="K146" s="160" t="s">
        <v>258</v>
      </c>
      <c r="L146" s="87">
        <v>640758</v>
      </c>
      <c r="M146" s="87"/>
      <c r="N146" s="87">
        <v>539538</v>
      </c>
      <c r="O146" s="94"/>
      <c r="P146" s="155">
        <f t="shared" ref="P146:P148" si="54">L146-N146</f>
        <v>101220</v>
      </c>
      <c r="Q146" s="154">
        <f t="shared" ref="Q146:Q148" si="55">(L146/N146)-1</f>
        <v>0.18760495090243867</v>
      </c>
    </row>
    <row r="147" spans="2:17" ht="15.75" x14ac:dyDescent="0.25">
      <c r="B147" s="144" t="s">
        <v>58</v>
      </c>
      <c r="C147" s="170">
        <v>728313</v>
      </c>
      <c r="D147" s="88"/>
      <c r="E147" s="170">
        <v>644181</v>
      </c>
      <c r="F147" s="159"/>
      <c r="G147" s="155">
        <v>84132</v>
      </c>
      <c r="H147" s="154">
        <v>0.13060304479641593</v>
      </c>
      <c r="I147" s="171"/>
      <c r="K147" s="144" t="s">
        <v>58</v>
      </c>
      <c r="L147" s="170">
        <v>1436682</v>
      </c>
      <c r="M147" s="88"/>
      <c r="N147" s="170">
        <v>1315005</v>
      </c>
      <c r="O147" s="159"/>
      <c r="P147" s="155">
        <v>121677</v>
      </c>
      <c r="Q147" s="154">
        <v>9.2529686198911776E-2</v>
      </c>
    </row>
    <row r="148" spans="2:17" x14ac:dyDescent="0.2">
      <c r="B148" s="163"/>
      <c r="C148" s="164">
        <f>C147+C146</f>
        <v>1025738</v>
      </c>
      <c r="D148" s="163"/>
      <c r="E148" s="164">
        <f>E147+E146</f>
        <v>912158</v>
      </c>
      <c r="F148" s="163"/>
      <c r="G148" s="155">
        <f t="shared" si="52"/>
        <v>113580</v>
      </c>
      <c r="H148" s="154">
        <f t="shared" si="53"/>
        <v>0.12451790150390618</v>
      </c>
      <c r="I148" s="173"/>
      <c r="K148" s="163"/>
      <c r="L148" s="164">
        <f>L147+L146</f>
        <v>2077440</v>
      </c>
      <c r="M148" s="163"/>
      <c r="N148" s="164">
        <f>N147+N146</f>
        <v>1854543</v>
      </c>
      <c r="O148" s="163"/>
      <c r="P148" s="155">
        <f t="shared" si="54"/>
        <v>222897</v>
      </c>
      <c r="Q148" s="154">
        <f t="shared" si="55"/>
        <v>0.12018971789815613</v>
      </c>
    </row>
    <row r="149" spans="2:17" x14ac:dyDescent="0.2">
      <c r="I149" s="171"/>
    </row>
    <row r="150" spans="2:17" ht="18.75" x14ac:dyDescent="0.3">
      <c r="B150" s="149" t="s">
        <v>71</v>
      </c>
      <c r="I150" s="171"/>
      <c r="K150" s="149" t="s">
        <v>71</v>
      </c>
    </row>
    <row r="151" spans="2:17" x14ac:dyDescent="0.2">
      <c r="B151" s="60" t="str">
        <f>$B$3</f>
        <v xml:space="preserve">Q2'22 vs Q2'21 </v>
      </c>
      <c r="I151" s="171"/>
      <c r="K151" s="60" t="str">
        <f>$B$3</f>
        <v xml:space="preserve">Q2'22 vs Q2'21 </v>
      </c>
    </row>
    <row r="152" spans="2:17" x14ac:dyDescent="0.2">
      <c r="B152" s="52" t="s">
        <v>52</v>
      </c>
      <c r="I152" s="171"/>
      <c r="K152" s="52" t="s">
        <v>52</v>
      </c>
    </row>
    <row r="153" spans="2:17" x14ac:dyDescent="0.2">
      <c r="C153" s="169" t="s">
        <v>53</v>
      </c>
      <c r="D153" s="150"/>
      <c r="E153" s="169" t="s">
        <v>53</v>
      </c>
      <c r="I153" s="171"/>
      <c r="L153" s="169" t="s">
        <v>53</v>
      </c>
      <c r="M153" s="150"/>
      <c r="N153" s="169" t="s">
        <v>53</v>
      </c>
    </row>
    <row r="154" spans="2:17" x14ac:dyDescent="0.2">
      <c r="B154" s="151"/>
      <c r="C154" s="169" t="str">
        <f>$C$6</f>
        <v>Q2'22</v>
      </c>
      <c r="D154" s="150"/>
      <c r="E154" s="169" t="str">
        <f>$E$6</f>
        <v>Q2'21</v>
      </c>
      <c r="G154" s="197" t="s">
        <v>56</v>
      </c>
      <c r="H154" s="169" t="s">
        <v>57</v>
      </c>
      <c r="I154" s="171"/>
      <c r="K154" s="151"/>
      <c r="L154" s="169" t="str">
        <f>$L$6</f>
        <v>Jun YTD 2022</v>
      </c>
      <c r="M154" s="150"/>
      <c r="N154" s="169" t="str">
        <f>$N$6</f>
        <v>Jun YTD 2021</v>
      </c>
      <c r="P154" s="197" t="s">
        <v>56</v>
      </c>
      <c r="Q154" s="169" t="s">
        <v>57</v>
      </c>
    </row>
    <row r="155" spans="2:17" x14ac:dyDescent="0.2">
      <c r="H155" s="152"/>
      <c r="I155" s="171"/>
      <c r="Q155" s="152"/>
    </row>
    <row r="156" spans="2:17" x14ac:dyDescent="0.2">
      <c r="B156" s="21" t="s">
        <v>58</v>
      </c>
      <c r="C156" s="91">
        <f>1936.23836434788*('2022 IR Data Book'!$A$5)</f>
        <v>1936.23836434788</v>
      </c>
      <c r="D156" s="153">
        <f>C156/$C$162</f>
        <v>1.4844608293851367E-2</v>
      </c>
      <c r="E156" s="91">
        <f>1748.06702534119*('2022 IR Data Book'!$A$5)</f>
        <v>1748.0670253411899</v>
      </c>
      <c r="F156" s="153">
        <f>E156/$E$162</f>
        <v>1.2140488445581502E-2</v>
      </c>
      <c r="G156" s="155">
        <f>C156-E156</f>
        <v>188.17133900669</v>
      </c>
      <c r="H156" s="154">
        <f>(C156/E156)-1</f>
        <v>0.10764537988465439</v>
      </c>
      <c r="I156" s="171"/>
      <c r="K156" s="21" t="s">
        <v>58</v>
      </c>
      <c r="L156" s="91">
        <f>3680.7048095334*('2022 IR Data Book'!$A$5)</f>
        <v>3680.7048095333998</v>
      </c>
      <c r="M156" s="153">
        <f>L156/$L$162</f>
        <v>1.3986756187031352E-2</v>
      </c>
      <c r="N156" s="91">
        <f>3665.6455656605*('2022 IR Data Book'!$A$5)</f>
        <v>3665.6455656604999</v>
      </c>
      <c r="O156" s="153">
        <f>N156/$N$162</f>
        <v>1.3041485864106524E-2</v>
      </c>
      <c r="P156" s="155">
        <f>L156-N156</f>
        <v>15.05924387289997</v>
      </c>
      <c r="Q156" s="154">
        <f>(L156/N156)-1</f>
        <v>4.1082105738683428E-3</v>
      </c>
    </row>
    <row r="157" spans="2:17" x14ac:dyDescent="0.2">
      <c r="B157" s="21" t="s">
        <v>59</v>
      </c>
      <c r="C157" s="91">
        <f>101794.551748804*('2022 IR Data Book'!$A$5)</f>
        <v>101794.55174880401</v>
      </c>
      <c r="D157" s="153">
        <f t="shared" ref="D157:D160" si="56">C157/$C$162</f>
        <v>0.78043089889302597</v>
      </c>
      <c r="E157" s="91">
        <f>119372.930212583*('2022 IR Data Book'!$A$5)</f>
        <v>119372.930212583</v>
      </c>
      <c r="F157" s="153">
        <f t="shared" ref="F157:F164" si="57">E157/$E$162</f>
        <v>0.82905612825584041</v>
      </c>
      <c r="G157" s="155">
        <f t="shared" ref="G157:G160" si="58">C157-E157</f>
        <v>-17578.378463778994</v>
      </c>
      <c r="H157" s="154">
        <f>(C157/E157)-1</f>
        <v>-0.14725598536012208</v>
      </c>
      <c r="I157" s="171"/>
      <c r="K157" s="21" t="s">
        <v>59</v>
      </c>
      <c r="L157" s="91">
        <f>208694.003627051*('2022 IR Data Book'!$A$5)</f>
        <v>208694.00362705099</v>
      </c>
      <c r="M157" s="153">
        <f>L157/$L$162</f>
        <v>0.79304163128393657</v>
      </c>
      <c r="N157" s="91">
        <f>233417.426136977*('2022 IR Data Book'!$A$5)</f>
        <v>233417.42613697701</v>
      </c>
      <c r="O157" s="153">
        <f>N157/$N$162</f>
        <v>0.83044309900512892</v>
      </c>
      <c r="P157" s="155">
        <f t="shared" ref="P157:P160" si="59">L157-N157</f>
        <v>-24723.422509926022</v>
      </c>
      <c r="Q157" s="154">
        <f>(L157/N157)-1</f>
        <v>-0.10591935194854518</v>
      </c>
    </row>
    <row r="158" spans="2:17" x14ac:dyDescent="0.2">
      <c r="B158" s="21" t="s">
        <v>60</v>
      </c>
      <c r="C158" s="91">
        <f>2416.04666299935*('2022 IR Data Book'!$A$5)</f>
        <v>2416.0466629993498</v>
      </c>
      <c r="D158" s="153">
        <f t="shared" si="56"/>
        <v>1.8523166874638081E-2</v>
      </c>
      <c r="E158" s="91">
        <f>0*('2022 IR Data Book'!$A$5)</f>
        <v>0</v>
      </c>
      <c r="F158" s="153">
        <f t="shared" si="57"/>
        <v>0</v>
      </c>
      <c r="G158" s="85">
        <f t="shared" si="58"/>
        <v>2416.0466629993498</v>
      </c>
      <c r="H158" s="86" t="e">
        <f>(C158/E158)-1</f>
        <v>#DIV/0!</v>
      </c>
      <c r="I158" s="171"/>
      <c r="K158" s="21" t="s">
        <v>60</v>
      </c>
      <c r="L158" s="91">
        <f>2416.04666299935*('2022 IR Data Book'!$A$5)</f>
        <v>2416.0466629993498</v>
      </c>
      <c r="M158" s="153">
        <f>L158/$L$162</f>
        <v>9.1810284607274639E-3</v>
      </c>
      <c r="N158" s="91">
        <f>0*('2022 IR Data Book'!$A$5)</f>
        <v>0</v>
      </c>
      <c r="O158" s="153">
        <f>N158/$N$162</f>
        <v>0</v>
      </c>
      <c r="P158" s="85">
        <f t="shared" si="59"/>
        <v>2416.0466629993498</v>
      </c>
      <c r="Q158" s="86" t="e">
        <f>(L158/N158)-1</f>
        <v>#DIV/0!</v>
      </c>
    </row>
    <row r="159" spans="2:17" x14ac:dyDescent="0.2">
      <c r="B159" s="21" t="s">
        <v>61</v>
      </c>
      <c r="C159" s="91">
        <f>0*('2022 IR Data Book'!$A$5)</f>
        <v>0</v>
      </c>
      <c r="D159" s="153">
        <f t="shared" si="56"/>
        <v>0</v>
      </c>
      <c r="E159" s="91">
        <f>0*('2022 IR Data Book'!$A$5)</f>
        <v>0</v>
      </c>
      <c r="F159" s="153">
        <f t="shared" si="57"/>
        <v>0</v>
      </c>
      <c r="G159" s="155">
        <f t="shared" si="58"/>
        <v>0</v>
      </c>
      <c r="H159" s="154" t="e">
        <f>(C159/E159)-1</f>
        <v>#DIV/0!</v>
      </c>
      <c r="I159" s="171"/>
      <c r="K159" s="21" t="s">
        <v>61</v>
      </c>
      <c r="L159" s="91">
        <f>0*('2022 IR Data Book'!$A$5)</f>
        <v>0</v>
      </c>
      <c r="M159" s="153">
        <f>L159/$L$162</f>
        <v>0</v>
      </c>
      <c r="N159" s="91">
        <f>0*('2022 IR Data Book'!$A$5)</f>
        <v>0</v>
      </c>
      <c r="O159" s="153">
        <f>N159/$N$162</f>
        <v>0</v>
      </c>
      <c r="P159" s="155">
        <f t="shared" si="59"/>
        <v>0</v>
      </c>
      <c r="Q159" s="154" t="e">
        <f>(L159/N159)-1</f>
        <v>#DIV/0!</v>
      </c>
    </row>
    <row r="160" spans="2:17" x14ac:dyDescent="0.2">
      <c r="B160" s="21" t="s">
        <v>62</v>
      </c>
      <c r="C160" s="91">
        <f>24286.9426823387*('2022 IR Data Book'!$A$5)</f>
        <v>24286.9426823387</v>
      </c>
      <c r="D160" s="153">
        <f t="shared" si="56"/>
        <v>0.1862013259384846</v>
      </c>
      <c r="E160" s="91">
        <f>22865.5510114911*('2022 IR Data Book'!$A$5)</f>
        <v>22865.551011491101</v>
      </c>
      <c r="F160" s="153">
        <f t="shared" si="57"/>
        <v>0.15880338329857807</v>
      </c>
      <c r="G160" s="155">
        <f t="shared" si="58"/>
        <v>1421.391670847599</v>
      </c>
      <c r="H160" s="154">
        <f>(C160/E160)-1</f>
        <v>6.2163018513451851E-2</v>
      </c>
      <c r="I160" s="171"/>
      <c r="K160" s="21" t="s">
        <v>62</v>
      </c>
      <c r="L160" s="91">
        <f>48365.6737617546*('2022 IR Data Book'!$A$5)</f>
        <v>48365.673761754602</v>
      </c>
      <c r="M160" s="153">
        <f>L160/$L$162</f>
        <v>0.18379058406830451</v>
      </c>
      <c r="N160" s="91">
        <f>43992.6894381452*('2022 IR Data Book'!$A$5)</f>
        <v>43992.6894381452</v>
      </c>
      <c r="O160" s="153">
        <f>N160/$N$162</f>
        <v>0.15651541513076445</v>
      </c>
      <c r="P160" s="155">
        <f t="shared" si="59"/>
        <v>4372.9843236094021</v>
      </c>
      <c r="Q160" s="154">
        <f>(L160/N160)-1</f>
        <v>9.9402522997779519E-2</v>
      </c>
    </row>
    <row r="161" spans="2:17" x14ac:dyDescent="0.2">
      <c r="C161" s="91"/>
      <c r="D161" s="153"/>
      <c r="E161" s="91"/>
      <c r="F161" s="153"/>
      <c r="G161" s="155"/>
      <c r="H161" s="154"/>
      <c r="I161" s="171"/>
      <c r="L161" s="91"/>
      <c r="M161" s="153"/>
      <c r="N161" s="91"/>
      <c r="O161" s="153"/>
      <c r="P161" s="155"/>
      <c r="Q161" s="154"/>
    </row>
    <row r="162" spans="2:17" ht="15.75" x14ac:dyDescent="0.25">
      <c r="B162" s="144" t="s">
        <v>63</v>
      </c>
      <c r="C162" s="92">
        <f>SUM(C156:C160)</f>
        <v>130433.77945848994</v>
      </c>
      <c r="D162" s="153">
        <f>C162/$C$162</f>
        <v>1</v>
      </c>
      <c r="E162" s="92">
        <f>SUM(E156:E160)</f>
        <v>143986.5482494153</v>
      </c>
      <c r="F162" s="153">
        <f t="shared" si="57"/>
        <v>1</v>
      </c>
      <c r="G162" s="156">
        <f>C162-E162</f>
        <v>-13552.768790925358</v>
      </c>
      <c r="H162" s="157">
        <f>(C162/E162)-1</f>
        <v>-9.4125242640368589E-2</v>
      </c>
      <c r="I162" s="171"/>
      <c r="K162" s="144" t="s">
        <v>63</v>
      </c>
      <c r="L162" s="92">
        <f>SUM(L156:L160)</f>
        <v>263156.42886133835</v>
      </c>
      <c r="M162" s="153">
        <f>L162/$L$162</f>
        <v>1</v>
      </c>
      <c r="N162" s="92">
        <f>SUM(N156:N160)</f>
        <v>281075.76114078274</v>
      </c>
      <c r="O162" s="153">
        <f>N162/$N$162</f>
        <v>1</v>
      </c>
      <c r="P162" s="156">
        <f>L162-N162</f>
        <v>-17919.332279444381</v>
      </c>
      <c r="Q162" s="157">
        <f>(L162/N162)-1</f>
        <v>-6.375267723803868E-2</v>
      </c>
    </row>
    <row r="163" spans="2:17" x14ac:dyDescent="0.2">
      <c r="C163" s="91">
        <v>0</v>
      </c>
      <c r="D163" s="158"/>
      <c r="E163" s="91">
        <v>0</v>
      </c>
      <c r="F163" s="158"/>
      <c r="G163" s="198"/>
      <c r="H163" s="154"/>
      <c r="I163" s="171"/>
      <c r="L163" s="91">
        <v>0</v>
      </c>
      <c r="M163" s="158"/>
      <c r="N163" s="91">
        <v>0</v>
      </c>
      <c r="O163" s="158"/>
      <c r="P163" s="198"/>
      <c r="Q163" s="154"/>
    </row>
    <row r="164" spans="2:17" ht="15.75" x14ac:dyDescent="0.25">
      <c r="B164" s="144" t="s">
        <v>64</v>
      </c>
      <c r="C164" s="92">
        <f>31871.1369574258*('2022 IR Data Book'!$A$5)</f>
        <v>31871.136957425799</v>
      </c>
      <c r="D164" s="153">
        <f>C164/$C$162</f>
        <v>0.24434726257064926</v>
      </c>
      <c r="E164" s="92">
        <f>41228.8031832367*('2022 IR Data Book'!$A$5)</f>
        <v>41228.803183236698</v>
      </c>
      <c r="F164" s="153">
        <f t="shared" si="57"/>
        <v>0.28633788145139538</v>
      </c>
      <c r="G164" s="156">
        <f>C164-E164</f>
        <v>-9357.666225810899</v>
      </c>
      <c r="H164" s="157">
        <f>(C164/E164)-1</f>
        <v>-0.22696914543509361</v>
      </c>
      <c r="I164" s="171"/>
      <c r="K164" s="144" t="s">
        <v>64</v>
      </c>
      <c r="L164" s="92">
        <f>62437.1793126551*('2022 IR Data Book'!$A$5)</f>
        <v>62437.179312655098</v>
      </c>
      <c r="M164" s="153">
        <f>L164/$L$162</f>
        <v>0.23726260301835272</v>
      </c>
      <c r="N164" s="92">
        <f>78024.8380299073*('2022 IR Data Book'!$A$5)</f>
        <v>78024.838029907303</v>
      </c>
      <c r="O164" s="153">
        <f>N164/$N$162</f>
        <v>0.27759362000207094</v>
      </c>
      <c r="P164" s="156">
        <f>L164-N164</f>
        <v>-15587.658717252205</v>
      </c>
      <c r="Q164" s="157">
        <f>(L164/N164)-1</f>
        <v>-0.19977816181146546</v>
      </c>
    </row>
    <row r="165" spans="2:17" x14ac:dyDescent="0.2">
      <c r="I165" s="171"/>
    </row>
    <row r="166" spans="2:17" x14ac:dyDescent="0.2">
      <c r="B166" s="74" t="s">
        <v>257</v>
      </c>
      <c r="C166" s="169" t="str">
        <f>$C$6</f>
        <v>Q2'22</v>
      </c>
      <c r="D166" s="150"/>
      <c r="E166" s="169" t="str">
        <f>$E$6</f>
        <v>Q2'21</v>
      </c>
      <c r="G166" s="197" t="s">
        <v>56</v>
      </c>
      <c r="H166" s="169" t="s">
        <v>57</v>
      </c>
      <c r="I166" s="171"/>
      <c r="K166" s="74" t="s">
        <v>257</v>
      </c>
      <c r="L166" s="169" t="str">
        <f>$L$6</f>
        <v>Jun YTD 2022</v>
      </c>
      <c r="M166" s="150"/>
      <c r="N166" s="169" t="str">
        <f>$N$6</f>
        <v>Jun YTD 2021</v>
      </c>
      <c r="P166" s="197" t="s">
        <v>56</v>
      </c>
      <c r="Q166" s="169" t="s">
        <v>57</v>
      </c>
    </row>
    <row r="167" spans="2:17" ht="15.75" x14ac:dyDescent="0.25">
      <c r="B167" s="160" t="s">
        <v>258</v>
      </c>
      <c r="C167" s="87">
        <v>9975927</v>
      </c>
      <c r="D167" s="84"/>
      <c r="E167" s="87">
        <v>12004767</v>
      </c>
      <c r="F167" s="94"/>
      <c r="G167" s="155">
        <f t="shared" ref="G167:G169" si="60">C167-E167</f>
        <v>-2028840</v>
      </c>
      <c r="H167" s="154">
        <f t="shared" ref="H167:H169" si="61">(C167/E167)-1</f>
        <v>-0.16900286361243</v>
      </c>
      <c r="I167" s="172"/>
      <c r="K167" s="160" t="s">
        <v>258</v>
      </c>
      <c r="L167" s="87">
        <v>20579673</v>
      </c>
      <c r="M167" s="84"/>
      <c r="N167" s="87">
        <v>23784777</v>
      </c>
      <c r="O167" s="94"/>
      <c r="P167" s="155">
        <f t="shared" ref="P167:P169" si="62">L167-N167</f>
        <v>-3205104</v>
      </c>
      <c r="Q167" s="154">
        <f t="shared" ref="Q167:Q169" si="63">(L167/N167)-1</f>
        <v>-0.1347544271699499</v>
      </c>
    </row>
    <row r="168" spans="2:17" ht="15.75" x14ac:dyDescent="0.25">
      <c r="B168" s="144" t="s">
        <v>58</v>
      </c>
      <c r="C168" s="170">
        <v>5404</v>
      </c>
      <c r="D168" s="84"/>
      <c r="E168" s="170">
        <v>4965</v>
      </c>
      <c r="F168" s="159"/>
      <c r="G168" s="155">
        <v>439</v>
      </c>
      <c r="H168" s="154">
        <v>8.8418932527693839E-2</v>
      </c>
      <c r="I168" s="171"/>
      <c r="K168" s="144" t="s">
        <v>58</v>
      </c>
      <c r="L168" s="170">
        <v>10025</v>
      </c>
      <c r="M168" s="84"/>
      <c r="N168" s="170">
        <v>9460</v>
      </c>
      <c r="O168" s="159"/>
      <c r="P168" s="155">
        <v>565</v>
      </c>
      <c r="Q168" s="154">
        <v>5.972515856236793E-2</v>
      </c>
    </row>
    <row r="169" spans="2:17" x14ac:dyDescent="0.2">
      <c r="B169" s="163"/>
      <c r="C169" s="164">
        <f>C168+C167</f>
        <v>9981331</v>
      </c>
      <c r="D169" s="163"/>
      <c r="E169" s="164">
        <f>E168+E167</f>
        <v>12009732</v>
      </c>
      <c r="F169" s="163"/>
      <c r="G169" s="155">
        <f t="shared" si="60"/>
        <v>-2028401</v>
      </c>
      <c r="H169" s="154">
        <f t="shared" si="61"/>
        <v>-0.16889644165248652</v>
      </c>
      <c r="I169" s="173"/>
      <c r="K169" s="163"/>
      <c r="L169" s="164">
        <f>L168+L167</f>
        <v>20589698</v>
      </c>
      <c r="M169" s="163"/>
      <c r="N169" s="164">
        <f>N168+N167</f>
        <v>23794237</v>
      </c>
      <c r="O169" s="163"/>
      <c r="P169" s="155">
        <f t="shared" si="62"/>
        <v>-3204539</v>
      </c>
      <c r="Q169" s="154">
        <f t="shared" si="63"/>
        <v>-0.13467710689777523</v>
      </c>
    </row>
    <row r="170" spans="2:17" x14ac:dyDescent="0.2">
      <c r="I170" s="171"/>
    </row>
    <row r="171" spans="2:17" ht="18.75" x14ac:dyDescent="0.3">
      <c r="B171" s="149" t="s">
        <v>72</v>
      </c>
      <c r="I171" s="171"/>
      <c r="K171" s="149" t="s">
        <v>72</v>
      </c>
    </row>
    <row r="172" spans="2:17" x14ac:dyDescent="0.2">
      <c r="B172" s="60" t="str">
        <f>$B$3</f>
        <v xml:space="preserve">Q2'22 vs Q2'21 </v>
      </c>
      <c r="I172" s="171"/>
      <c r="K172" s="60" t="str">
        <f>$B$3</f>
        <v xml:space="preserve">Q2'22 vs Q2'21 </v>
      </c>
    </row>
    <row r="173" spans="2:17" x14ac:dyDescent="0.2">
      <c r="B173" s="52" t="s">
        <v>52</v>
      </c>
      <c r="I173" s="171"/>
      <c r="K173" s="52" t="s">
        <v>52</v>
      </c>
    </row>
    <row r="174" spans="2:17" x14ac:dyDescent="0.2">
      <c r="C174" s="169" t="s">
        <v>53</v>
      </c>
      <c r="D174" s="150"/>
      <c r="E174" s="169" t="s">
        <v>53</v>
      </c>
      <c r="I174" s="171"/>
      <c r="L174" s="169" t="s">
        <v>53</v>
      </c>
      <c r="M174" s="150"/>
      <c r="N174" s="169" t="s">
        <v>53</v>
      </c>
    </row>
    <row r="175" spans="2:17" x14ac:dyDescent="0.2">
      <c r="B175" s="151"/>
      <c r="C175" s="169" t="str">
        <f>$C$6</f>
        <v>Q2'22</v>
      </c>
      <c r="D175" s="150"/>
      <c r="E175" s="169" t="str">
        <f>$E$6</f>
        <v>Q2'21</v>
      </c>
      <c r="G175" s="197" t="s">
        <v>56</v>
      </c>
      <c r="H175" s="169" t="s">
        <v>57</v>
      </c>
      <c r="I175" s="171"/>
      <c r="K175" s="151"/>
      <c r="L175" s="169" t="str">
        <f>$L$6</f>
        <v>Jun YTD 2022</v>
      </c>
      <c r="M175" s="150"/>
      <c r="N175" s="169" t="str">
        <f>$N$6</f>
        <v>Jun YTD 2021</v>
      </c>
      <c r="P175" s="197" t="s">
        <v>56</v>
      </c>
      <c r="Q175" s="169" t="s">
        <v>57</v>
      </c>
    </row>
    <row r="176" spans="2:17" x14ac:dyDescent="0.2">
      <c r="H176" s="152"/>
      <c r="I176" s="171"/>
      <c r="Q176" s="152"/>
    </row>
    <row r="177" spans="2:17" x14ac:dyDescent="0.2">
      <c r="B177" s="21" t="s">
        <v>58</v>
      </c>
      <c r="C177" s="91">
        <f>6784.84364814563*('2022 IR Data Book'!$A$5)</f>
        <v>6784.8436481456301</v>
      </c>
      <c r="D177" s="153">
        <f>C177/$C$183</f>
        <v>0.92314666498899434</v>
      </c>
      <c r="E177" s="91">
        <f>7610.56472103782*('2022 IR Data Book'!$A$5)</f>
        <v>7610.5647210378202</v>
      </c>
      <c r="F177" s="153">
        <f>E177/$E$183</f>
        <v>0.93306864507643761</v>
      </c>
      <c r="G177" s="155">
        <f>C177-E177</f>
        <v>-825.72107289219002</v>
      </c>
      <c r="H177" s="154">
        <f>(C177/E177)-1</f>
        <v>-0.10849668890005704</v>
      </c>
      <c r="I177" s="171"/>
      <c r="K177" s="21" t="s">
        <v>58</v>
      </c>
      <c r="L177" s="91">
        <f>13488.6478564326*('2022 IR Data Book'!$A$5)</f>
        <v>13488.647856432601</v>
      </c>
      <c r="M177" s="153">
        <f>L177/$L$183</f>
        <v>0.91577154580335873</v>
      </c>
      <c r="N177" s="91">
        <f>16904.2466077518*('2022 IR Data Book'!$A$5)</f>
        <v>16904.2466077518</v>
      </c>
      <c r="O177" s="153">
        <f>N177/$N$183</f>
        <v>0.93316110803973495</v>
      </c>
      <c r="P177" s="155">
        <f>L177-N177</f>
        <v>-3415.5987513191994</v>
      </c>
      <c r="Q177" s="154">
        <f>(L177/N177)-1</f>
        <v>-0.20205566273228082</v>
      </c>
    </row>
    <row r="178" spans="2:17" x14ac:dyDescent="0.2">
      <c r="B178" s="21" t="s">
        <v>59</v>
      </c>
      <c r="C178" s="91">
        <f>0*('2022 IR Data Book'!$A$5)</f>
        <v>0</v>
      </c>
      <c r="D178" s="153">
        <f t="shared" ref="D178:D181" si="64">C178/$C$183</f>
        <v>0</v>
      </c>
      <c r="E178" s="91">
        <f>0*('2022 IR Data Book'!$A$5)</f>
        <v>0</v>
      </c>
      <c r="F178" s="153">
        <f t="shared" ref="F178:F181" si="65">E178/$E$183</f>
        <v>0</v>
      </c>
      <c r="G178" s="155">
        <f t="shared" ref="G178:G181" si="66">C178-E178</f>
        <v>0</v>
      </c>
      <c r="H178" s="154" t="e">
        <f>(C178/E178)-1</f>
        <v>#DIV/0!</v>
      </c>
      <c r="I178" s="171"/>
      <c r="K178" s="21" t="s">
        <v>59</v>
      </c>
      <c r="L178" s="91">
        <f>0*('2022 IR Data Book'!$A$5)</f>
        <v>0</v>
      </c>
      <c r="M178" s="153">
        <f>L178/$L$183</f>
        <v>0</v>
      </c>
      <c r="N178" s="91">
        <f>0*('2022 IR Data Book'!$A$5)</f>
        <v>0</v>
      </c>
      <c r="O178" s="153">
        <f>N178/$N$183</f>
        <v>0</v>
      </c>
      <c r="P178" s="155">
        <f t="shared" ref="P178:P181" si="67">L178-N178</f>
        <v>0</v>
      </c>
      <c r="Q178" s="154" t="e">
        <f>(L178/N178)-1</f>
        <v>#DIV/0!</v>
      </c>
    </row>
    <row r="179" spans="2:17" x14ac:dyDescent="0.2">
      <c r="B179" s="21" t="s">
        <v>60</v>
      </c>
      <c r="C179" s="91">
        <f>0*('2022 IR Data Book'!$A$5)</f>
        <v>0</v>
      </c>
      <c r="D179" s="153">
        <f t="shared" si="64"/>
        <v>0</v>
      </c>
      <c r="E179" s="91">
        <f>0*('2022 IR Data Book'!$A$5)</f>
        <v>0</v>
      </c>
      <c r="F179" s="153">
        <f t="shared" si="65"/>
        <v>0</v>
      </c>
      <c r="G179" s="85">
        <f t="shared" si="66"/>
        <v>0</v>
      </c>
      <c r="H179" s="86" t="e">
        <f>(C179/E179)-1</f>
        <v>#DIV/0!</v>
      </c>
      <c r="I179" s="171"/>
      <c r="K179" s="21" t="s">
        <v>60</v>
      </c>
      <c r="L179" s="91">
        <f>0*('2022 IR Data Book'!$A$5)</f>
        <v>0</v>
      </c>
      <c r="M179" s="153">
        <f>L179/$L$183</f>
        <v>0</v>
      </c>
      <c r="N179" s="91">
        <f>0*('2022 IR Data Book'!$A$5)</f>
        <v>0</v>
      </c>
      <c r="O179" s="153">
        <f>N179/$N$183</f>
        <v>0</v>
      </c>
      <c r="P179" s="85">
        <f t="shared" si="67"/>
        <v>0</v>
      </c>
      <c r="Q179" s="86" t="e">
        <f>(L179/N179)-1</f>
        <v>#DIV/0!</v>
      </c>
    </row>
    <row r="180" spans="2:17" x14ac:dyDescent="0.2">
      <c r="B180" s="21" t="s">
        <v>61</v>
      </c>
      <c r="C180" s="91">
        <f>0*('2022 IR Data Book'!$A$5)</f>
        <v>0</v>
      </c>
      <c r="D180" s="153">
        <f t="shared" si="64"/>
        <v>0</v>
      </c>
      <c r="E180" s="91">
        <f>0*('2022 IR Data Book'!$A$5)</f>
        <v>0</v>
      </c>
      <c r="F180" s="153">
        <f t="shared" si="65"/>
        <v>0</v>
      </c>
      <c r="G180" s="155">
        <f t="shared" si="66"/>
        <v>0</v>
      </c>
      <c r="H180" s="154" t="e">
        <f>(C180/E180)-1</f>
        <v>#DIV/0!</v>
      </c>
      <c r="I180" s="171"/>
      <c r="K180" s="21" t="s">
        <v>61</v>
      </c>
      <c r="L180" s="91">
        <f>0*('2022 IR Data Book'!$A$5)</f>
        <v>0</v>
      </c>
      <c r="M180" s="153">
        <f>L180/$L$183</f>
        <v>0</v>
      </c>
      <c r="N180" s="91">
        <f>0*('2022 IR Data Book'!$A$5)</f>
        <v>0</v>
      </c>
      <c r="O180" s="153">
        <f>N180/$N$183</f>
        <v>0</v>
      </c>
      <c r="P180" s="155">
        <f t="shared" si="67"/>
        <v>0</v>
      </c>
      <c r="Q180" s="154" t="e">
        <f>(L180/N180)-1</f>
        <v>#DIV/0!</v>
      </c>
    </row>
    <row r="181" spans="2:17" x14ac:dyDescent="0.2">
      <c r="B181" s="21" t="s">
        <v>62</v>
      </c>
      <c r="C181" s="91">
        <f>564.848340642*('2022 IR Data Book'!$A$5)</f>
        <v>564.84834064200004</v>
      </c>
      <c r="D181" s="153">
        <f t="shared" si="64"/>
        <v>7.6853335011005636E-2</v>
      </c>
      <c r="E181" s="91">
        <f>545.924901882*('2022 IR Data Book'!$A$5)</f>
        <v>545.92490188199997</v>
      </c>
      <c r="F181" s="153">
        <f t="shared" si="65"/>
        <v>6.6931354923562378E-2</v>
      </c>
      <c r="G181" s="155">
        <f t="shared" si="66"/>
        <v>18.923438760000067</v>
      </c>
      <c r="H181" s="154">
        <f>(C181/E181)-1</f>
        <v>3.4663080388463996E-2</v>
      </c>
      <c r="I181" s="171"/>
      <c r="K181" s="21" t="s">
        <v>62</v>
      </c>
      <c r="L181" s="91">
        <f>1240.623781506*('2022 IR Data Book'!$A$5)</f>
        <v>1240.6237815059999</v>
      </c>
      <c r="M181" s="153">
        <f>L181/$L$183</f>
        <v>8.422845419664135E-2</v>
      </c>
      <c r="N181" s="91">
        <f>1210.788901242*('2022 IR Data Book'!$A$5)</f>
        <v>1210.7889012420001</v>
      </c>
      <c r="O181" s="153">
        <f>N181/$N$183</f>
        <v>6.6838891960264962E-2</v>
      </c>
      <c r="P181" s="155">
        <f t="shared" si="67"/>
        <v>29.834880263999821</v>
      </c>
      <c r="Q181" s="154">
        <f>(L181/N181)-1</f>
        <v>2.4640860379043783E-2</v>
      </c>
    </row>
    <row r="182" spans="2:17" x14ac:dyDescent="0.2">
      <c r="C182" s="91"/>
      <c r="D182" s="153"/>
      <c r="E182" s="91"/>
      <c r="F182" s="153"/>
      <c r="G182" s="155"/>
      <c r="H182" s="154"/>
      <c r="I182" s="171"/>
      <c r="L182" s="91"/>
      <c r="M182" s="153"/>
      <c r="N182" s="91"/>
      <c r="O182" s="153"/>
      <c r="P182" s="155"/>
      <c r="Q182" s="154"/>
    </row>
    <row r="183" spans="2:17" ht="15.75" x14ac:dyDescent="0.25">
      <c r="B183" s="144" t="s">
        <v>63</v>
      </c>
      <c r="C183" s="92">
        <f>SUM(C177:C181)</f>
        <v>7349.6919887876302</v>
      </c>
      <c r="D183" s="153">
        <f>C183/$C$183</f>
        <v>1</v>
      </c>
      <c r="E183" s="92">
        <f>SUM(E177:E181)</f>
        <v>8156.4896229198202</v>
      </c>
      <c r="F183" s="153">
        <f>E183/$E$183</f>
        <v>1</v>
      </c>
      <c r="G183" s="156">
        <f>C183-E183</f>
        <v>-806.79763413219007</v>
      </c>
      <c r="H183" s="157">
        <f>(C183/E183)-1</f>
        <v>-9.8914811571031769E-2</v>
      </c>
      <c r="I183" s="171"/>
      <c r="K183" s="144" t="s">
        <v>63</v>
      </c>
      <c r="L183" s="92">
        <f>SUM(L177:L181)</f>
        <v>14729.2716379386</v>
      </c>
      <c r="M183" s="153">
        <f>L183/$L$183</f>
        <v>1</v>
      </c>
      <c r="N183" s="92">
        <f>SUM(N177:N181)</f>
        <v>18115.035508993802</v>
      </c>
      <c r="O183" s="153">
        <f>N183/$N$183</f>
        <v>1</v>
      </c>
      <c r="P183" s="156">
        <f>L183-N183</f>
        <v>-3385.7638710552019</v>
      </c>
      <c r="Q183" s="157">
        <f>(L183/N183)-1</f>
        <v>-0.18690351831627539</v>
      </c>
    </row>
    <row r="184" spans="2:17" x14ac:dyDescent="0.2">
      <c r="C184" s="91">
        <v>0</v>
      </c>
      <c r="D184" s="158"/>
      <c r="E184" s="91">
        <v>0</v>
      </c>
      <c r="F184" s="158"/>
      <c r="G184" s="198"/>
      <c r="H184" s="154"/>
      <c r="I184" s="171"/>
      <c r="L184" s="91">
        <v>0</v>
      </c>
      <c r="M184" s="158"/>
      <c r="N184" s="91">
        <v>0</v>
      </c>
      <c r="O184" s="158"/>
      <c r="P184" s="198"/>
      <c r="Q184" s="154"/>
    </row>
    <row r="185" spans="2:17" ht="15.75" x14ac:dyDescent="0.25">
      <c r="B185" s="144" t="s">
        <v>64</v>
      </c>
      <c r="C185" s="92">
        <f>38349.0736152437*('2022 IR Data Book'!$A$5)</f>
        <v>38349.073615243702</v>
      </c>
      <c r="D185" s="153"/>
      <c r="E185" s="92">
        <f>42499.813061566*('2022 IR Data Book'!$A$5)</f>
        <v>42499.813061565997</v>
      </c>
      <c r="F185" s="159"/>
      <c r="G185" s="156">
        <f>C185-E185</f>
        <v>-4150.7394463222954</v>
      </c>
      <c r="H185" s="157">
        <f>(C185/E185)-1</f>
        <v>-9.7664887144549573E-2</v>
      </c>
      <c r="I185" s="171"/>
      <c r="K185" s="144" t="s">
        <v>64</v>
      </c>
      <c r="L185" s="92">
        <f>76144.1763558057*('2022 IR Data Book'!$A$5)</f>
        <v>76144.176355805699</v>
      </c>
      <c r="M185" s="153"/>
      <c r="N185" s="92">
        <f>81130.7635445044*('2022 IR Data Book'!$A$5)</f>
        <v>81130.7635445044</v>
      </c>
      <c r="O185" s="159"/>
      <c r="P185" s="156">
        <f>L185-N185</f>
        <v>-4986.5871886987006</v>
      </c>
      <c r="Q185" s="157">
        <f>(L185/N185)-1</f>
        <v>-6.1463580161713938E-2</v>
      </c>
    </row>
    <row r="186" spans="2:17" x14ac:dyDescent="0.2">
      <c r="C186" s="2">
        <f>C185/C183</f>
        <v>5.2177796938630054</v>
      </c>
      <c r="E186" s="2">
        <f>E185/E183</f>
        <v>5.2105519685994679</v>
      </c>
      <c r="I186" s="171"/>
      <c r="L186" s="2">
        <f>L185/L183</f>
        <v>5.1695819201052</v>
      </c>
      <c r="N186" s="2">
        <f>N185/N183</f>
        <v>4.4786422584832568</v>
      </c>
    </row>
    <row r="187" spans="2:17" x14ac:dyDescent="0.2">
      <c r="B187" s="163"/>
      <c r="C187" s="163"/>
      <c r="D187" s="163"/>
      <c r="E187" s="163"/>
      <c r="F187" s="163"/>
      <c r="G187" s="37"/>
      <c r="H187" s="163"/>
      <c r="I187" s="173"/>
      <c r="K187" s="163"/>
      <c r="L187" s="163"/>
      <c r="M187" s="163"/>
      <c r="N187" s="163"/>
      <c r="O187" s="163"/>
      <c r="P187" s="37"/>
      <c r="Q187" s="163"/>
    </row>
    <row r="188" spans="2:17" x14ac:dyDescent="0.2">
      <c r="I188" s="171"/>
    </row>
    <row r="189" spans="2:17" ht="18.75" x14ac:dyDescent="0.3">
      <c r="B189" s="149" t="s">
        <v>0</v>
      </c>
      <c r="I189" s="171"/>
      <c r="K189" s="149" t="s">
        <v>0</v>
      </c>
    </row>
    <row r="190" spans="2:17" x14ac:dyDescent="0.2">
      <c r="B190" s="60" t="str">
        <f>$B$3</f>
        <v xml:space="preserve">Q2'22 vs Q2'21 </v>
      </c>
      <c r="I190" s="171"/>
      <c r="K190" s="60" t="str">
        <f>$B$3</f>
        <v xml:space="preserve">Q2'22 vs Q2'21 </v>
      </c>
    </row>
    <row r="191" spans="2:17" x14ac:dyDescent="0.2">
      <c r="B191" s="52" t="s">
        <v>52</v>
      </c>
      <c r="I191" s="171"/>
      <c r="K191" s="52" t="s">
        <v>52</v>
      </c>
    </row>
    <row r="192" spans="2:17" x14ac:dyDescent="0.2">
      <c r="C192" s="169" t="s">
        <v>53</v>
      </c>
      <c r="D192" s="150"/>
      <c r="E192" s="169" t="s">
        <v>53</v>
      </c>
      <c r="I192" s="171"/>
      <c r="L192" s="169" t="s">
        <v>53</v>
      </c>
      <c r="M192" s="150"/>
      <c r="N192" s="169" t="s">
        <v>53</v>
      </c>
    </row>
    <row r="193" spans="2:17" x14ac:dyDescent="0.2">
      <c r="B193" s="151"/>
      <c r="C193" s="169" t="str">
        <f>$C$6</f>
        <v>Q2'22</v>
      </c>
      <c r="D193" s="150"/>
      <c r="E193" s="169" t="str">
        <f>$E$6</f>
        <v>Q2'21</v>
      </c>
      <c r="G193" s="197" t="s">
        <v>56</v>
      </c>
      <c r="H193" s="169" t="s">
        <v>57</v>
      </c>
      <c r="I193" s="171"/>
      <c r="K193" s="151"/>
      <c r="L193" s="169" t="str">
        <f>$L$6</f>
        <v>Jun YTD 2022</v>
      </c>
      <c r="M193" s="150"/>
      <c r="N193" s="169" t="str">
        <f>$N$6</f>
        <v>Jun YTD 2021</v>
      </c>
      <c r="P193" s="197" t="s">
        <v>56</v>
      </c>
      <c r="Q193" s="169" t="s">
        <v>57</v>
      </c>
    </row>
    <row r="194" spans="2:17" x14ac:dyDescent="0.2">
      <c r="H194" s="152"/>
      <c r="I194" s="171"/>
      <c r="Q194" s="152"/>
    </row>
    <row r="195" spans="2:17" x14ac:dyDescent="0.2">
      <c r="B195" s="21" t="s">
        <v>58</v>
      </c>
      <c r="C195" s="91">
        <f>C8+C30+C51+C72+C93+C114+C135+C156+C177</f>
        <v>587090.84596671199</v>
      </c>
      <c r="D195" s="153">
        <f>C195/$C$201</f>
        <v>0.3871127525846581</v>
      </c>
      <c r="E195" s="91">
        <f>E8+E30+E51+E72+E93+E114+E135+E156+E177</f>
        <v>733555.54212566267</v>
      </c>
      <c r="F195" s="153">
        <f>E195/$E$201</f>
        <v>0.46695822455322383</v>
      </c>
      <c r="G195" s="155">
        <f>C195-E195</f>
        <v>-146464.69615895068</v>
      </c>
      <c r="H195" s="154">
        <f>(C195/E195)-1</f>
        <v>-0.19966408505964273</v>
      </c>
      <c r="I195" s="171"/>
      <c r="K195" s="21" t="s">
        <v>58</v>
      </c>
      <c r="L195" s="91">
        <f>L8+L30+L51+L72+L93+L114+L135+L156+L177</f>
        <v>1144836.239216509</v>
      </c>
      <c r="M195" s="153">
        <f>L195/$L$201</f>
        <v>0.38604899490007383</v>
      </c>
      <c r="N195" s="91">
        <f>N8+N30+N51+N72+N93+N114+N135+N156+N177</f>
        <v>1380080.0281591474</v>
      </c>
      <c r="O195" s="153">
        <f>N195/$N$201</f>
        <v>0.46066293315211876</v>
      </c>
      <c r="P195" s="155">
        <f>L195-N195</f>
        <v>-235243.78894263832</v>
      </c>
      <c r="Q195" s="154">
        <f>(L195/N195)-1</f>
        <v>-0.17045662870465839</v>
      </c>
    </row>
    <row r="196" spans="2:17" x14ac:dyDescent="0.2">
      <c r="B196" s="21" t="s">
        <v>59</v>
      </c>
      <c r="C196" s="91">
        <f>C9+C31+C52+C73+C94+C115+C136+C157+C178</f>
        <v>349072.25578071794</v>
      </c>
      <c r="D196" s="153">
        <f t="shared" ref="D196:D199" si="68">C196/$C$201</f>
        <v>0.23016935575567027</v>
      </c>
      <c r="E196" s="91">
        <f>E9+E31+E52+E73+E94+E115+E136+E157+E178</f>
        <v>367225.92416029616</v>
      </c>
      <c r="F196" s="153">
        <f t="shared" ref="F196:F199" si="69">E196/$E$201</f>
        <v>0.23376439234431312</v>
      </c>
      <c r="G196" s="155">
        <f t="shared" ref="G196:G199" si="70">C196-E196</f>
        <v>-18153.668379578216</v>
      </c>
      <c r="H196" s="154">
        <f>(C196/E196)-1</f>
        <v>-4.9434604654038594E-2</v>
      </c>
      <c r="I196" s="171"/>
      <c r="K196" s="21" t="s">
        <v>59</v>
      </c>
      <c r="L196" s="91">
        <f>L9+L31+L52+L73+L94+L115+L136+L157+L178</f>
        <v>702418.78091254714</v>
      </c>
      <c r="M196" s="153">
        <f>L196/$L$201</f>
        <v>0.23686188039942124</v>
      </c>
      <c r="N196" s="91">
        <f>N9+N31+N52+N73+N94+N115+N136+N157+N178</f>
        <v>722843.78819166718</v>
      </c>
      <c r="O196" s="153">
        <f>N196/$N$201</f>
        <v>0.2412811814423004</v>
      </c>
      <c r="P196" s="155">
        <f t="shared" ref="P196:P199" si="71">L196-N196</f>
        <v>-20425.007279120036</v>
      </c>
      <c r="Q196" s="154">
        <f>(L196/N196)-1</f>
        <v>-2.8256460957099883E-2</v>
      </c>
    </row>
    <row r="197" spans="2:17" x14ac:dyDescent="0.2">
      <c r="B197" s="21" t="s">
        <v>60</v>
      </c>
      <c r="C197" s="91">
        <f>C10+C32+C53+C74+C95+C116+C137+C158+C179</f>
        <v>432410.05959837907</v>
      </c>
      <c r="D197" s="153">
        <f t="shared" si="68"/>
        <v>0.28512018125711958</v>
      </c>
      <c r="E197" s="91">
        <f>E10+E32+E53+E74+E95+E116+E137+E158+E179</f>
        <v>328594.83029283118</v>
      </c>
      <c r="F197" s="153">
        <f t="shared" si="69"/>
        <v>0.2091730615329781</v>
      </c>
      <c r="G197" s="85">
        <f t="shared" si="70"/>
        <v>103815.22930554789</v>
      </c>
      <c r="H197" s="86">
        <f>(C197/E197)-1</f>
        <v>0.31593689168217209</v>
      </c>
      <c r="I197" s="171"/>
      <c r="K197" s="21" t="s">
        <v>60</v>
      </c>
      <c r="L197" s="91">
        <f>L10+L32+L53+L74+L95+L116+L137+L158+L179</f>
        <v>823542.72660980723</v>
      </c>
      <c r="M197" s="153">
        <f>L197/$L$201</f>
        <v>0.27770595564179767</v>
      </c>
      <c r="N197" s="91">
        <f>N10+N32+N53+N74+N95+N116+N137+N158+N179</f>
        <v>616875.40615899116</v>
      </c>
      <c r="O197" s="153">
        <f>N197/$N$201</f>
        <v>0.20590953292009781</v>
      </c>
      <c r="P197" s="85">
        <f t="shared" si="71"/>
        <v>206667.32045081607</v>
      </c>
      <c r="Q197" s="86">
        <f>(L197/N197)-1</f>
        <v>0.33502279129207246</v>
      </c>
    </row>
    <row r="198" spans="2:17" x14ac:dyDescent="0.2">
      <c r="B198" s="21" t="s">
        <v>61</v>
      </c>
      <c r="C198" s="91">
        <f>C11+C33+C54+C75+C96+C117+C138+C159+C180</f>
        <v>111756.15419370131</v>
      </c>
      <c r="D198" s="153">
        <f t="shared" si="68"/>
        <v>7.3689162018806473E-2</v>
      </c>
      <c r="E198" s="91">
        <f>E11+E33+E54+E75+E96+E117+E138+E159+E180</f>
        <v>108808.86685714233</v>
      </c>
      <c r="F198" s="153">
        <f t="shared" si="69"/>
        <v>6.9264278388555034E-2</v>
      </c>
      <c r="G198" s="155">
        <f t="shared" si="70"/>
        <v>2947.2873365589767</v>
      </c>
      <c r="H198" s="154">
        <f>(C198/E198)-1</f>
        <v>2.7086830528513239E-2</v>
      </c>
      <c r="I198" s="171"/>
      <c r="K198" s="21" t="s">
        <v>61</v>
      </c>
      <c r="L198" s="91">
        <f>L11+L33+L54+L75+L96+L117+L138+L159+L180</f>
        <v>223861.41385699227</v>
      </c>
      <c r="M198" s="153">
        <f>L198/$L$201</f>
        <v>7.5488066201979717E-2</v>
      </c>
      <c r="N198" s="91">
        <f>N11+N33+N54+N75+N96+N117+N138+N159+N180</f>
        <v>213394.60844194752</v>
      </c>
      <c r="O198" s="153">
        <f>N198/$N$201</f>
        <v>7.1229917278666233E-2</v>
      </c>
      <c r="P198" s="155">
        <f t="shared" si="71"/>
        <v>10466.805415044742</v>
      </c>
      <c r="Q198" s="154">
        <f>(L198/N198)-1</f>
        <v>4.9049062164530532E-2</v>
      </c>
    </row>
    <row r="199" spans="2:17" x14ac:dyDescent="0.2">
      <c r="B199" s="21" t="s">
        <v>62</v>
      </c>
      <c r="C199" s="91">
        <f>C12+C34+C55+C76+C97+C118+C139+C160+C181</f>
        <v>36259.435533267868</v>
      </c>
      <c r="D199" s="153">
        <f t="shared" si="68"/>
        <v>2.3908548383745627E-2</v>
      </c>
      <c r="E199" s="91">
        <f>E12+E34+E55+E76+E97+E118+E139+E160+E181</f>
        <v>32738.108827905893</v>
      </c>
      <c r="F199" s="153">
        <f t="shared" si="69"/>
        <v>2.0840043180929774E-2</v>
      </c>
      <c r="G199" s="155">
        <f t="shared" si="70"/>
        <v>3521.3267053619747</v>
      </c>
      <c r="H199" s="154">
        <f>(C199/E199)-1</f>
        <v>0.10756048016922715</v>
      </c>
      <c r="I199" s="171"/>
      <c r="K199" s="21" t="s">
        <v>62</v>
      </c>
      <c r="L199" s="91">
        <f>L12+L34+L55+L76+L97+L118+L139+L160+L181</f>
        <v>70861.419279872702</v>
      </c>
      <c r="M199" s="153">
        <f>L199/$L$201</f>
        <v>2.3895102856727496E-2</v>
      </c>
      <c r="N199" s="91">
        <f>N12+N34+N55+N76+N97+N118+N139+N160+N181</f>
        <v>62662.637715808341</v>
      </c>
      <c r="O199" s="153">
        <f>N199/$N$201</f>
        <v>2.0916435206816904E-2</v>
      </c>
      <c r="P199" s="155">
        <f t="shared" si="71"/>
        <v>8198.7815640643603</v>
      </c>
      <c r="Q199" s="154">
        <f>(L199/N199)-1</f>
        <v>0.13084003264031119</v>
      </c>
    </row>
    <row r="200" spans="2:17" x14ac:dyDescent="0.2">
      <c r="C200" s="91"/>
      <c r="D200" s="153"/>
      <c r="E200" s="91"/>
      <c r="F200" s="153"/>
      <c r="G200" s="155"/>
      <c r="H200" s="154"/>
      <c r="I200" s="171"/>
      <c r="L200" s="91"/>
      <c r="M200" s="153"/>
      <c r="N200" s="91"/>
      <c r="O200" s="153"/>
      <c r="P200" s="155"/>
      <c r="Q200" s="154"/>
    </row>
    <row r="201" spans="2:17" ht="15.75" x14ac:dyDescent="0.25">
      <c r="B201" s="144" t="s">
        <v>63</v>
      </c>
      <c r="C201" s="92">
        <f>SUM(C195:C199)</f>
        <v>1516588.7510727781</v>
      </c>
      <c r="D201" s="153">
        <f>C201/$C$201</f>
        <v>1</v>
      </c>
      <c r="E201" s="92">
        <f>SUM(E195:E199)</f>
        <v>1570923.2722638384</v>
      </c>
      <c r="F201" s="153">
        <f>E201/$E$201</f>
        <v>1</v>
      </c>
      <c r="G201" s="156">
        <f>C201-E201</f>
        <v>-54334.52119106031</v>
      </c>
      <c r="H201" s="157">
        <f>(C201/E201)-1</f>
        <v>-3.4587635278175877E-2</v>
      </c>
      <c r="I201" s="171"/>
      <c r="K201" s="144" t="s">
        <v>63</v>
      </c>
      <c r="L201" s="92">
        <f>SUM(L195:L199)</f>
        <v>2965520.5798757286</v>
      </c>
      <c r="M201" s="153">
        <f>L201/$L$201</f>
        <v>1</v>
      </c>
      <c r="N201" s="92">
        <f>SUM(N195:N199)</f>
        <v>2995856.4686675612</v>
      </c>
      <c r="O201" s="153">
        <f>N201/$N$201</f>
        <v>1</v>
      </c>
      <c r="P201" s="156">
        <f>L201-N201</f>
        <v>-30335.888791832607</v>
      </c>
      <c r="Q201" s="157">
        <f>(L201/N201)-1</f>
        <v>-1.0125948659124084E-2</v>
      </c>
    </row>
    <row r="202" spans="2:17" x14ac:dyDescent="0.2">
      <c r="C202" s="91">
        <v>0</v>
      </c>
      <c r="D202" s="158"/>
      <c r="E202" s="91">
        <v>0</v>
      </c>
      <c r="F202" s="158"/>
      <c r="G202" s="198"/>
      <c r="H202" s="154"/>
      <c r="I202" s="171"/>
      <c r="L202" s="91">
        <v>0</v>
      </c>
      <c r="M202" s="158"/>
      <c r="N202" s="91">
        <v>0</v>
      </c>
      <c r="O202" s="158"/>
      <c r="P202" s="198"/>
      <c r="Q202" s="154"/>
    </row>
    <row r="203" spans="2:17" ht="15.75" x14ac:dyDescent="0.25">
      <c r="B203" s="144" t="s">
        <v>64</v>
      </c>
      <c r="C203" s="92">
        <f>C16+C38+C59+C80+C101+C122+C143+C164+C185</f>
        <v>378622.77971552307</v>
      </c>
      <c r="D203" s="159"/>
      <c r="E203" s="92">
        <f>E16+E38+E59+E80+E101+E122+E143+E164+E185</f>
        <v>388664.13255353912</v>
      </c>
      <c r="F203" s="159"/>
      <c r="G203" s="156">
        <f>C203-E203</f>
        <v>-10041.352838016057</v>
      </c>
      <c r="H203" s="157">
        <f>(C203/E203)-1</f>
        <v>-2.5835553108654374E-2</v>
      </c>
      <c r="I203" s="171"/>
      <c r="K203" s="144" t="s">
        <v>64</v>
      </c>
      <c r="L203" s="92">
        <f>L16+L38+L59+L80+L101+L122+L143+L164+L185</f>
        <v>722723.00074359169</v>
      </c>
      <c r="M203" s="159"/>
      <c r="N203" s="92">
        <f>N16+N38+N59+N80+N101+N122+N143+N164+N185</f>
        <v>747311.05039976165</v>
      </c>
      <c r="O203" s="159"/>
      <c r="P203" s="156">
        <f>L203-N203</f>
        <v>-24588.049656169955</v>
      </c>
      <c r="Q203" s="157">
        <f>(L203/N203)-1</f>
        <v>-3.2902028737587852E-2</v>
      </c>
    </row>
    <row r="204" spans="2:17" x14ac:dyDescent="0.2">
      <c r="C204" s="94">
        <v>0</v>
      </c>
      <c r="E204" s="94">
        <v>1.736538193654269E-3</v>
      </c>
      <c r="I204" s="171"/>
      <c r="L204" s="94">
        <v>0</v>
      </c>
      <c r="N204" s="94">
        <v>1.7443534452468157E-3</v>
      </c>
    </row>
    <row r="205" spans="2:17" x14ac:dyDescent="0.2">
      <c r="I205" s="171"/>
    </row>
    <row r="206" spans="2:17" x14ac:dyDescent="0.2">
      <c r="C206" s="166">
        <v>-1.6016187146306038E-5</v>
      </c>
      <c r="E206" s="93">
        <v>-1.78313790820539E-3</v>
      </c>
      <c r="I206" s="171"/>
      <c r="L206" s="166">
        <v>-3.0998559668660164E-4</v>
      </c>
      <c r="N206" s="93">
        <v>-1.7955261282622814E-3</v>
      </c>
    </row>
    <row r="207" spans="2:17" x14ac:dyDescent="0.2">
      <c r="I207" s="171"/>
    </row>
    <row r="208" spans="2:17" x14ac:dyDescent="0.2">
      <c r="B208" s="21" t="s">
        <v>73</v>
      </c>
      <c r="I208" s="171"/>
      <c r="K208" s="21" t="s">
        <v>73</v>
      </c>
    </row>
    <row r="209" spans="2:17" x14ac:dyDescent="0.2">
      <c r="B209" s="21" t="s">
        <v>258</v>
      </c>
      <c r="C209" s="94">
        <f>C20+C41+C62+C83+C104+C125+C146+C167</f>
        <v>24101160</v>
      </c>
      <c r="D209" s="94"/>
      <c r="E209" s="94">
        <f>E20+E41+E62+E83+E104+E125+E146+E167</f>
        <v>25800486</v>
      </c>
      <c r="F209" s="94"/>
      <c r="G209" s="200"/>
      <c r="H209" s="94"/>
      <c r="I209" s="172"/>
      <c r="K209" s="21" t="s">
        <v>258</v>
      </c>
      <c r="L209" s="94">
        <f>L20+L41+L62+L83+L104+L125+L146+L167</f>
        <v>49109504</v>
      </c>
      <c r="M209" s="94"/>
      <c r="N209" s="94">
        <f>N20+N41+N62+N83+N104+N125+N146+N167</f>
        <v>51189324</v>
      </c>
      <c r="O209" s="94"/>
      <c r="P209" s="200"/>
      <c r="Q209" s="94"/>
    </row>
    <row r="210" spans="2:17" x14ac:dyDescent="0.2">
      <c r="B210" s="21" t="s">
        <v>293</v>
      </c>
      <c r="C210" s="94">
        <f>C21+C42+C63+C84+C105+C126+C147+C168</f>
        <v>5930134</v>
      </c>
      <c r="D210" s="94"/>
      <c r="E210" s="94">
        <f>E21+E42+E63+E84+E105+E126+E147+E168</f>
        <v>7200104</v>
      </c>
      <c r="F210" s="94"/>
      <c r="G210" s="200"/>
      <c r="H210" s="94"/>
      <c r="I210" s="172"/>
      <c r="K210" s="21" t="s">
        <v>260</v>
      </c>
      <c r="L210" s="94">
        <f>L21+L42+L63+L84+L105+L126+L147+L168</f>
        <v>11269903</v>
      </c>
      <c r="M210" s="94"/>
      <c r="N210" s="94">
        <f>N21+N42+N63+N84+N105+N126+N147+N168</f>
        <v>13403931</v>
      </c>
      <c r="O210" s="94"/>
      <c r="P210" s="200"/>
      <c r="Q210" s="94"/>
    </row>
    <row r="211" spans="2:17" x14ac:dyDescent="0.2">
      <c r="C211" s="94"/>
      <c r="D211" s="94"/>
      <c r="E211" s="94"/>
      <c r="F211" s="94"/>
      <c r="G211" s="200"/>
      <c r="H211" s="94"/>
      <c r="I211" s="172"/>
      <c r="K211" s="21" t="s">
        <v>261</v>
      </c>
      <c r="L211" s="94"/>
      <c r="M211" s="94"/>
      <c r="N211" s="94"/>
      <c r="O211" s="94"/>
      <c r="P211" s="200"/>
      <c r="Q211" s="94"/>
    </row>
    <row r="212" spans="2:17" s="60" customFormat="1" x14ac:dyDescent="0.2">
      <c r="G212" s="201"/>
      <c r="I212" s="175"/>
      <c r="P212" s="201"/>
    </row>
    <row r="213" spans="2:17" s="60" customFormat="1" x14ac:dyDescent="0.2">
      <c r="C213" s="167">
        <v>0</v>
      </c>
      <c r="E213" s="167">
        <v>0</v>
      </c>
      <c r="G213" s="201"/>
      <c r="L213" s="167">
        <v>0</v>
      </c>
      <c r="N213" s="167">
        <v>0</v>
      </c>
      <c r="P213" s="201"/>
    </row>
    <row r="214" spans="2:17" s="60" customFormat="1" x14ac:dyDescent="0.2">
      <c r="C214" s="167">
        <v>0</v>
      </c>
      <c r="E214" s="167">
        <v>0</v>
      </c>
      <c r="G214" s="201"/>
      <c r="L214" s="167">
        <v>0</v>
      </c>
      <c r="N214" s="167">
        <v>0</v>
      </c>
      <c r="P214" s="201"/>
    </row>
    <row r="215" spans="2:17" s="60" customFormat="1" x14ac:dyDescent="0.2">
      <c r="G215" s="201"/>
      <c r="P215" s="201"/>
    </row>
    <row r="216" spans="2:17" s="60" customFormat="1" x14ac:dyDescent="0.2">
      <c r="G216" s="201"/>
      <c r="P216" s="201"/>
    </row>
    <row r="217" spans="2:17" s="60" customFormat="1" x14ac:dyDescent="0.2">
      <c r="G217" s="201"/>
      <c r="P217" s="201"/>
    </row>
    <row r="218" spans="2:17" s="60" customFormat="1" x14ac:dyDescent="0.2">
      <c r="G218" s="201"/>
      <c r="P218" s="201"/>
    </row>
    <row r="219" spans="2:17" s="60" customFormat="1" x14ac:dyDescent="0.2">
      <c r="G219" s="201"/>
      <c r="P219" s="201"/>
    </row>
    <row r="220" spans="2:17" s="60" customFormat="1" x14ac:dyDescent="0.2">
      <c r="G220" s="201"/>
      <c r="P220" s="201"/>
    </row>
    <row r="221" spans="2:17" s="60" customFormat="1" x14ac:dyDescent="0.2">
      <c r="C221" s="168"/>
      <c r="G221" s="201"/>
      <c r="L221" s="168"/>
      <c r="P221" s="201"/>
    </row>
    <row r="222" spans="2:17" s="60" customFormat="1" x14ac:dyDescent="0.2">
      <c r="C222" s="168"/>
      <c r="G222" s="201"/>
      <c r="L222" s="168"/>
      <c r="P222" s="201"/>
    </row>
    <row r="223" spans="2:17" x14ac:dyDescent="0.2">
      <c r="C223" s="94"/>
      <c r="L223" s="94"/>
    </row>
    <row r="224" spans="2:17" x14ac:dyDescent="0.2">
      <c r="C224" s="94"/>
      <c r="L224" s="94"/>
    </row>
  </sheetData>
  <pageMargins left="0.7" right="0.7" top="0.75" bottom="0.75" header="0.3" footer="0.3"/>
  <pageSetup paperSize="9" orientation="portrait" r:id="rId1"/>
  <ignoredErrors>
    <ignoredError sqref="M14 M36 M57 M78 L95:N99 M94 M118:M120 M141 M159:M164 M178:M183 D14 D36 D57 D78 D118:D120 M195:M201 D195:D201 D141 D159:D162" formula="1"/>
    <ignoredError sqref="F21:K21 F42:K42" formulaRange="1"/>
    <ignoredError sqref="Q94:Q96 L104:Q104 Q118 C100:H101 C104:H104 H118 E94:H94 E96:H99 F95:H95 H158:H159 Q158:Q159" evalError="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3BCBF8119AA9641923D0AE9145F3CAD" ma:contentTypeVersion="7" ma:contentTypeDescription="Create a new document." ma:contentTypeScope="" ma:versionID="09ada7e634d956550556ca2bb858992e">
  <xsd:schema xmlns:xsd="http://www.w3.org/2001/XMLSchema" xmlns:xs="http://www.w3.org/2001/XMLSchema" xmlns:p="http://schemas.microsoft.com/office/2006/metadata/properties" xmlns:ns1="http://schemas.microsoft.com/sharepoint/v3" xmlns:ns2="a81bb348-8ee9-4097-92ba-693a2f35bfaa" targetNamespace="http://schemas.microsoft.com/office/2006/metadata/properties" ma:root="true" ma:fieldsID="cf46d1027189959424f1049b60750747" ns1:_="" ns2:_="">
    <xsd:import namespace="http://schemas.microsoft.com/sharepoint/v3"/>
    <xsd:import namespace="a81bb348-8ee9-4097-92ba-693a2f35bfaa"/>
    <xsd:element name="properties">
      <xsd:complexType>
        <xsd:sequence>
          <xsd:element name="documentManagement">
            <xsd:complexType>
              <xsd:all>
                <xsd:element ref="ns2:MediaServiceMetadata" minOccurs="0"/>
                <xsd:element ref="ns2:MediaServiceFastMetadata" minOccurs="0"/>
                <xsd:element ref="ns1:_ip_UnifiedCompliancePolicyProperties" minOccurs="0"/>
                <xsd:element ref="ns1:_ip_UnifiedCompliancePolicyUIAc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81bb348-8ee9-4097-92ba-693a2f35bfa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A331388-BAE5-410E-8154-30D3AA16694F}">
  <ds:schemaRefs>
    <ds:schemaRef ds:uri="http://schemas.microsoft.com/sharepoint/v3/contenttype/forms"/>
  </ds:schemaRefs>
</ds:datastoreItem>
</file>

<file path=customXml/itemProps2.xml><?xml version="1.0" encoding="utf-8"?>
<ds:datastoreItem xmlns:ds="http://schemas.openxmlformats.org/officeDocument/2006/customXml" ds:itemID="{C95BA8FC-D23C-4F93-A85B-8CB4C25C10C8}">
  <ds:schemaRefs>
    <ds:schemaRef ds:uri="http://purl.org/dc/elements/1.1/"/>
    <ds:schemaRef ds:uri="http://purl.org/dc/dcmitype/"/>
    <ds:schemaRef ds:uri="http://schemas.microsoft.com/office/2006/metadata/properties"/>
    <ds:schemaRef ds:uri="http://schemas.openxmlformats.org/package/2006/metadata/core-properties"/>
    <ds:schemaRef ds:uri="http://schemas.microsoft.com/sharepoint/v3"/>
    <ds:schemaRef ds:uri="http://schemas.microsoft.com/office/infopath/2007/PartnerControls"/>
    <ds:schemaRef ds:uri="http://schemas.microsoft.com/office/2006/documentManagement/types"/>
    <ds:schemaRef ds:uri="a81bb348-8ee9-4097-92ba-693a2f35bfaa"/>
    <ds:schemaRef ds:uri="http://www.w3.org/XML/1998/namespace"/>
    <ds:schemaRef ds:uri="http://purl.org/dc/terms/"/>
  </ds:schemaRefs>
</ds:datastoreItem>
</file>

<file path=customXml/itemProps3.xml><?xml version="1.0" encoding="utf-8"?>
<ds:datastoreItem xmlns:ds="http://schemas.openxmlformats.org/officeDocument/2006/customXml" ds:itemID="{969D77C7-403B-487C-BFDA-F76CA9CEBB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81bb348-8ee9-4097-92ba-693a2f35bf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2022 IR Data Book</vt:lpstr>
      <vt:lpstr>Contents</vt:lpstr>
      <vt:lpstr>Group Profit &amp; Loss Stm</vt:lpstr>
      <vt:lpstr>Group Balance Sheet</vt:lpstr>
      <vt:lpstr>Group CF and CAPEX</vt:lpstr>
      <vt:lpstr>Aramex Courier</vt:lpstr>
      <vt:lpstr>Aramex Freight</vt:lpstr>
      <vt:lpstr>Aramex Logistics</vt:lpstr>
      <vt:lpstr>Regional Breakdown</vt:lpstr>
      <vt:lpstr>GP Recflassification</vt:lpstr>
      <vt:lpstr>Historic_Product_Breakdown</vt:lpstr>
      <vt:lpstr>Historic Courier Rev_Vol_ 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Usman Syed</dc:creator>
  <cp:lastModifiedBy>Anca Cighi</cp:lastModifiedBy>
  <dcterms:created xsi:type="dcterms:W3CDTF">2021-07-29T06:01:51Z</dcterms:created>
  <dcterms:modified xsi:type="dcterms:W3CDTF">2022-08-11T10:33:30Z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0x01010023BCBF8119AA9641923D0AE9145F3CAD</vt:lpwstr>
  </property>
  <property fmtid="{D5CDD505-2E9C-101B-9397-08002B2CF9AE}" pid="3" name="MSIP_Label_5c15bd85-9f84-4ab9-b6e1-ccb9127e3d2a_Enabled">
    <vt:lpwstr>true</vt:lpwstr>
  </property>
  <property fmtid="{D5CDD505-2E9C-101B-9397-08002B2CF9AE}" pid="4" name="MSIP_Label_5c15bd85-9f84-4ab9-b6e1-ccb9127e3d2a_SetDate">
    <vt:lpwstr>2022-01-14T10:55:21Z</vt:lpwstr>
  </property>
  <property fmtid="{D5CDD505-2E9C-101B-9397-08002B2CF9AE}" pid="5" name="MSIP_Label_5c15bd85-9f84-4ab9-b6e1-ccb9127e3d2a_Method">
    <vt:lpwstr>Privileged</vt:lpwstr>
  </property>
  <property fmtid="{D5CDD505-2E9C-101B-9397-08002B2CF9AE}" pid="6" name="MSIP_Label_5c15bd85-9f84-4ab9-b6e1-ccb9127e3d2a_Name">
    <vt:lpwstr>Internal Classification</vt:lpwstr>
  </property>
  <property fmtid="{D5CDD505-2E9C-101B-9397-08002B2CF9AE}" pid="7" name="MSIP_Label_5c15bd85-9f84-4ab9-b6e1-ccb9127e3d2a_SiteId">
    <vt:lpwstr>43aa4ce1-f125-4390-a30c-5375aae87717</vt:lpwstr>
  </property>
  <property fmtid="{D5CDD505-2E9C-101B-9397-08002B2CF9AE}" pid="8" name="MSIP_Label_5c15bd85-9f84-4ab9-b6e1-ccb9127e3d2a_ActionId">
    <vt:lpwstr>d254e9e8-ade7-4e39-9d22-6a4a2f08937a</vt:lpwstr>
  </property>
  <property fmtid="{D5CDD505-2E9C-101B-9397-08002B2CF9AE}" pid="9" name="MSIP_Label_5c15bd85-9f84-4ab9-b6e1-ccb9127e3d2a_ContentBits">
    <vt:lpwstr>0</vt:lpwstr>
  </property>
</Properties>
</file>