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amex-my.sharepoint.com/personal/anca_aramex_com/Documents/Desktop/Quarterly results/Q2 2023/IR Data Book/"/>
    </mc:Choice>
  </mc:AlternateContent>
  <xr:revisionPtr revIDLastSave="22" documentId="13_ncr:1_{28E2559A-55FE-4756-AAA6-9D94C98A9D88}" xr6:coauthVersionLast="47" xr6:coauthVersionMax="47" xr10:uidLastSave="{1E417212-3E79-447E-8190-55FD427B3C4E}"/>
  <bookViews>
    <workbookView xWindow="-120" yWindow="-120" windowWidth="29040" windowHeight="15840" tabRatio="914" xr2:uid="{57DDC26A-0058-42D3-AF50-F9A5729AB588}"/>
  </bookViews>
  <sheets>
    <sheet name="2023 IR Data Book" sheetId="5" r:id="rId1"/>
    <sheet name="Contents" sheetId="20" r:id="rId2"/>
    <sheet name="Group Profit &amp; Loss Stm" sheetId="11" r:id="rId3"/>
    <sheet name="Group Balance Sheet" sheetId="10" r:id="rId4"/>
    <sheet name="Group CF and CAPEX" sheetId="12" r:id="rId5"/>
    <sheet name="Aramex Courier" sheetId="13" r:id="rId6"/>
    <sheet name="Aramex Express" sheetId="24" r:id="rId7"/>
    <sheet name="Aramex Domestic" sheetId="25" r:id="rId8"/>
    <sheet name="Aramex Freight" sheetId="14" r:id="rId9"/>
    <sheet name="Aramex Logistics" sheetId="15" r:id="rId10"/>
    <sheet name="Regional Breakdown" sheetId="9" r:id="rId11"/>
    <sheet name="Historic_Product_Breakdown" sheetId="7" r:id="rId12"/>
    <sheet name="Historic Express Rev_Vol_ Data" sheetId="6" r:id="rId13"/>
    <sheet name="Key figures and ratios" sheetId="2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bd" localSheetId="7">'[1]SCHEDULE 3'!#REF!</definedName>
    <definedName name="bd" localSheetId="6">'[1]SCHEDULE 3'!#REF!</definedName>
    <definedName name="bd">'[1]SCHEDULE 3'!#REF!</definedName>
    <definedName name="code">[2]Index!$C$30</definedName>
    <definedName name="Currency" localSheetId="7">'[3]Act''21 vs Act''20-Month'!#REF!</definedName>
    <definedName name="Currency" localSheetId="6">'[3]Act''21 vs Act''20-Month'!#REF!</definedName>
    <definedName name="Currency" localSheetId="12">'[3]Act''21 vs Act''20-Month'!#REF!</definedName>
    <definedName name="Currency" localSheetId="13">'[3]Act''21 vs Act''20-Month'!#REF!</definedName>
    <definedName name="Currency">'[3]Act''21 vs Act''20-Month'!#REF!</definedName>
    <definedName name="Currency1">'[4]Act''22 vs Act''21-Month'!#REF!</definedName>
    <definedName name="entity">[2]Index!$B$33</definedName>
    <definedName name="index">[2]Index!$B$36</definedName>
    <definedName name="MM">[5]XRates!$B$2</definedName>
    <definedName name="USD">[6]XRates!$B$1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4" l="1"/>
  <c r="O7" i="13"/>
  <c r="O7" i="24"/>
  <c r="L28" i="12"/>
  <c r="L27" i="12"/>
  <c r="L25" i="12" l="1"/>
  <c r="L47" i="10"/>
  <c r="L51" i="10"/>
  <c r="L17" i="10"/>
  <c r="L8" i="10"/>
  <c r="L7" i="10"/>
  <c r="N185" i="9" l="1"/>
  <c r="L185" i="9"/>
  <c r="N181" i="9"/>
  <c r="N180" i="9"/>
  <c r="N179" i="9"/>
  <c r="N178" i="9"/>
  <c r="N177" i="9"/>
  <c r="L181" i="9"/>
  <c r="L180" i="9"/>
  <c r="L179" i="9"/>
  <c r="L178" i="9"/>
  <c r="L177" i="9"/>
  <c r="N164" i="9"/>
  <c r="L164" i="9"/>
  <c r="N160" i="9"/>
  <c r="N159" i="9"/>
  <c r="N158" i="9"/>
  <c r="N157" i="9"/>
  <c r="N156" i="9"/>
  <c r="L160" i="9"/>
  <c r="L159" i="9"/>
  <c r="L158" i="9"/>
  <c r="L157" i="9"/>
  <c r="L156" i="9"/>
  <c r="N143" i="9"/>
  <c r="L143" i="9"/>
  <c r="N139" i="9"/>
  <c r="N138" i="9"/>
  <c r="N137" i="9"/>
  <c r="N136" i="9"/>
  <c r="N135" i="9"/>
  <c r="L139" i="9"/>
  <c r="L138" i="9"/>
  <c r="L137" i="9"/>
  <c r="L136" i="9"/>
  <c r="L135" i="9"/>
  <c r="N122" i="9"/>
  <c r="L122" i="9"/>
  <c r="N118" i="9"/>
  <c r="N117" i="9"/>
  <c r="N116" i="9"/>
  <c r="N115" i="9"/>
  <c r="N114" i="9"/>
  <c r="L118" i="9"/>
  <c r="L117" i="9"/>
  <c r="L116" i="9"/>
  <c r="L115" i="9"/>
  <c r="L114" i="9"/>
  <c r="N101" i="9"/>
  <c r="L101" i="9"/>
  <c r="N97" i="9"/>
  <c r="N96" i="9"/>
  <c r="N95" i="9"/>
  <c r="N94" i="9"/>
  <c r="N93" i="9"/>
  <c r="L97" i="9"/>
  <c r="L96" i="9"/>
  <c r="L95" i="9"/>
  <c r="L94" i="9"/>
  <c r="L93" i="9"/>
  <c r="N80" i="9"/>
  <c r="L80" i="9"/>
  <c r="N76" i="9"/>
  <c r="N75" i="9"/>
  <c r="N74" i="9"/>
  <c r="N73" i="9"/>
  <c r="N72" i="9"/>
  <c r="L76" i="9"/>
  <c r="L75" i="9"/>
  <c r="L74" i="9"/>
  <c r="L73" i="9"/>
  <c r="L72" i="9"/>
  <c r="N59" i="9"/>
  <c r="L59" i="9"/>
  <c r="N55" i="9"/>
  <c r="N54" i="9"/>
  <c r="N53" i="9"/>
  <c r="N52" i="9"/>
  <c r="N51" i="9"/>
  <c r="L55" i="9"/>
  <c r="L54" i="9"/>
  <c r="L53" i="9"/>
  <c r="L52" i="9"/>
  <c r="L51" i="9"/>
  <c r="N38" i="9"/>
  <c r="L38" i="9"/>
  <c r="N34" i="9"/>
  <c r="N33" i="9"/>
  <c r="N32" i="9"/>
  <c r="N31" i="9"/>
  <c r="N30" i="9"/>
  <c r="L34" i="9"/>
  <c r="L33" i="9"/>
  <c r="L32" i="9"/>
  <c r="L31" i="9"/>
  <c r="L30" i="9"/>
  <c r="N16" i="9"/>
  <c r="L16" i="9"/>
  <c r="N12" i="9"/>
  <c r="N11" i="9"/>
  <c r="N10" i="9"/>
  <c r="N9" i="9"/>
  <c r="N8" i="9"/>
  <c r="L12" i="9"/>
  <c r="L11" i="9"/>
  <c r="L10" i="9"/>
  <c r="L9" i="9"/>
  <c r="L8" i="9"/>
  <c r="E185" i="9"/>
  <c r="C185" i="9"/>
  <c r="E181" i="9"/>
  <c r="E180" i="9"/>
  <c r="E179" i="9"/>
  <c r="E178" i="9"/>
  <c r="E177" i="9"/>
  <c r="C181" i="9"/>
  <c r="C180" i="9"/>
  <c r="C179" i="9"/>
  <c r="C178" i="9"/>
  <c r="C177" i="9"/>
  <c r="E164" i="9"/>
  <c r="C164" i="9"/>
  <c r="E160" i="9"/>
  <c r="E159" i="9"/>
  <c r="E158" i="9"/>
  <c r="E157" i="9"/>
  <c r="E156" i="9"/>
  <c r="C160" i="9"/>
  <c r="C159" i="9"/>
  <c r="C158" i="9"/>
  <c r="C157" i="9"/>
  <c r="C156" i="9"/>
  <c r="E143" i="9"/>
  <c r="C143" i="9"/>
  <c r="E139" i="9"/>
  <c r="E138" i="9"/>
  <c r="E137" i="9"/>
  <c r="E136" i="9"/>
  <c r="E135" i="9"/>
  <c r="C139" i="9"/>
  <c r="C138" i="9"/>
  <c r="C137" i="9"/>
  <c r="C136" i="9"/>
  <c r="C135" i="9"/>
  <c r="E122" i="9"/>
  <c r="C122" i="9"/>
  <c r="E117" i="9"/>
  <c r="E116" i="9"/>
  <c r="E115" i="9"/>
  <c r="E114" i="9"/>
  <c r="C117" i="9"/>
  <c r="C116" i="9"/>
  <c r="C115" i="9"/>
  <c r="C114" i="9"/>
  <c r="E101" i="9"/>
  <c r="C101" i="9"/>
  <c r="E97" i="9"/>
  <c r="E96" i="9"/>
  <c r="E95" i="9"/>
  <c r="E94" i="9"/>
  <c r="E93" i="9"/>
  <c r="C97" i="9"/>
  <c r="C96" i="9"/>
  <c r="C95" i="9"/>
  <c r="C94" i="9"/>
  <c r="C93" i="9"/>
  <c r="E80" i="9"/>
  <c r="C80" i="9"/>
  <c r="E76" i="9"/>
  <c r="E75" i="9"/>
  <c r="E74" i="9"/>
  <c r="E73" i="9"/>
  <c r="E72" i="9"/>
  <c r="C76" i="9"/>
  <c r="C75" i="9"/>
  <c r="C74" i="9"/>
  <c r="C73" i="9"/>
  <c r="C72" i="9"/>
  <c r="E59" i="9"/>
  <c r="C59" i="9"/>
  <c r="E55" i="9"/>
  <c r="E54" i="9"/>
  <c r="E53" i="9"/>
  <c r="E52" i="9"/>
  <c r="E51" i="9"/>
  <c r="C55" i="9"/>
  <c r="C54" i="9"/>
  <c r="C53" i="9"/>
  <c r="C52" i="9"/>
  <c r="C51" i="9"/>
  <c r="E38" i="9"/>
  <c r="C38" i="9"/>
  <c r="E34" i="9"/>
  <c r="E33" i="9"/>
  <c r="E32" i="9"/>
  <c r="E31" i="9"/>
  <c r="E30" i="9"/>
  <c r="C34" i="9"/>
  <c r="C33" i="9"/>
  <c r="C32" i="9"/>
  <c r="C31" i="9"/>
  <c r="C30" i="9"/>
  <c r="C29" i="9"/>
  <c r="E16" i="9"/>
  <c r="C16" i="9"/>
  <c r="E12" i="9"/>
  <c r="E11" i="9"/>
  <c r="E10" i="9"/>
  <c r="E9" i="9"/>
  <c r="E8" i="9"/>
  <c r="C12" i="9"/>
  <c r="C11" i="9"/>
  <c r="C10" i="9"/>
  <c r="C9" i="9"/>
  <c r="C8" i="9"/>
  <c r="E36" i="9" l="1"/>
  <c r="K31" i="6" l="1"/>
  <c r="J31" i="6"/>
  <c r="K32" i="6"/>
  <c r="J32" i="6"/>
  <c r="E27" i="6"/>
  <c r="D27" i="6"/>
  <c r="C27" i="6"/>
  <c r="H84" i="7"/>
  <c r="H82" i="7"/>
  <c r="H80" i="7"/>
  <c r="H79" i="7"/>
  <c r="H96" i="7"/>
  <c r="H94" i="7"/>
  <c r="D32" i="6"/>
  <c r="C32" i="6"/>
  <c r="H72" i="7"/>
  <c r="H70" i="7"/>
  <c r="H68" i="7"/>
  <c r="H67" i="7"/>
  <c r="H120" i="7"/>
  <c r="H118" i="7"/>
  <c r="H119" i="7" s="1"/>
  <c r="H116" i="7"/>
  <c r="H117" i="7" s="1"/>
  <c r="H115" i="7"/>
  <c r="G120" i="7"/>
  <c r="G118" i="7"/>
  <c r="G116" i="7"/>
  <c r="F115" i="7"/>
  <c r="G115" i="7"/>
  <c r="F120" i="7"/>
  <c r="F118" i="7"/>
  <c r="F116" i="7"/>
  <c r="E116" i="7"/>
  <c r="E115" i="7"/>
  <c r="C120" i="7"/>
  <c r="C118" i="7"/>
  <c r="C116" i="7"/>
  <c r="C115" i="7"/>
  <c r="P14" i="15"/>
  <c r="P12" i="15"/>
  <c r="P11" i="15"/>
  <c r="P9" i="15"/>
  <c r="P8" i="15"/>
  <c r="P7" i="15"/>
  <c r="P14" i="14"/>
  <c r="P11" i="14"/>
  <c r="P9" i="14"/>
  <c r="P8" i="14"/>
  <c r="P7" i="14"/>
  <c r="P10" i="25"/>
  <c r="P8" i="25"/>
  <c r="P7" i="25"/>
  <c r="P15" i="13"/>
  <c r="P13" i="13"/>
  <c r="P12" i="13"/>
  <c r="P10" i="13"/>
  <c r="P8" i="13"/>
  <c r="P7" i="13"/>
  <c r="O14" i="15"/>
  <c r="O12" i="15"/>
  <c r="O11" i="15"/>
  <c r="O9" i="15"/>
  <c r="O8" i="15"/>
  <c r="O7" i="15"/>
  <c r="N14" i="15"/>
  <c r="N12" i="15"/>
  <c r="N11" i="15"/>
  <c r="N8" i="15"/>
  <c r="N7" i="15"/>
  <c r="N14" i="14"/>
  <c r="N12" i="14"/>
  <c r="N11" i="14"/>
  <c r="N8" i="14"/>
  <c r="O8" i="14" s="1"/>
  <c r="N7" i="14"/>
  <c r="I14" i="14"/>
  <c r="I12" i="14"/>
  <c r="I11" i="14"/>
  <c r="I8" i="14"/>
  <c r="I7" i="14"/>
  <c r="J14" i="14"/>
  <c r="J12" i="14"/>
  <c r="J11" i="14"/>
  <c r="J8" i="25"/>
  <c r="J7" i="25"/>
  <c r="O10" i="25"/>
  <c r="O8" i="25"/>
  <c r="O7" i="25"/>
  <c r="I8" i="25"/>
  <c r="I7" i="25"/>
  <c r="N8" i="25"/>
  <c r="N7" i="25"/>
  <c r="N16" i="25"/>
  <c r="N20" i="25"/>
  <c r="N19" i="25"/>
  <c r="J8" i="24"/>
  <c r="J7" i="24"/>
  <c r="E26" i="6" s="1"/>
  <c r="I8" i="24"/>
  <c r="I7" i="24"/>
  <c r="P7" i="24" s="1"/>
  <c r="N8" i="24"/>
  <c r="O8" i="24" s="1"/>
  <c r="P8" i="24" s="1"/>
  <c r="N7" i="24"/>
  <c r="D115" i="7" s="1"/>
  <c r="N16" i="24"/>
  <c r="O15" i="13"/>
  <c r="O13" i="13"/>
  <c r="O12" i="13"/>
  <c r="O10" i="13"/>
  <c r="O8" i="13"/>
  <c r="J15" i="13"/>
  <c r="J13" i="13"/>
  <c r="J12" i="13"/>
  <c r="J8" i="13"/>
  <c r="J7" i="13"/>
  <c r="D31" i="6" l="1"/>
  <c r="D30" i="6" s="1"/>
  <c r="D26" i="6"/>
  <c r="H121" i="7"/>
  <c r="G117" i="7"/>
  <c r="G121" i="7"/>
  <c r="G119" i="7"/>
  <c r="I118" i="7"/>
  <c r="F117" i="7"/>
  <c r="F119" i="7"/>
  <c r="F121" i="7"/>
  <c r="E117" i="7"/>
  <c r="J115" i="7"/>
  <c r="C119" i="7"/>
  <c r="C117" i="7"/>
  <c r="I115" i="7"/>
  <c r="C121" i="7"/>
  <c r="I116" i="7"/>
  <c r="I120" i="7"/>
  <c r="N9" i="15"/>
  <c r="N10" i="15" s="1"/>
  <c r="N13" i="15"/>
  <c r="N15" i="15"/>
  <c r="O14" i="14"/>
  <c r="O12" i="14"/>
  <c r="O11" i="14"/>
  <c r="N9" i="14"/>
  <c r="N10" i="14" s="1"/>
  <c r="N15" i="14"/>
  <c r="O7" i="14"/>
  <c r="N13" i="14"/>
  <c r="N10" i="25"/>
  <c r="N20" i="24"/>
  <c r="N10" i="24"/>
  <c r="D116" i="7" s="1"/>
  <c r="J116" i="7" s="1"/>
  <c r="N19" i="24"/>
  <c r="D117" i="7" l="1"/>
  <c r="J117" i="7" s="1"/>
  <c r="N21" i="24"/>
  <c r="N11" i="24"/>
  <c r="I121" i="7"/>
  <c r="I119" i="7"/>
  <c r="I117" i="7"/>
  <c r="N21" i="25"/>
  <c r="N11" i="25"/>
  <c r="I15" i="13" l="1"/>
  <c r="I13" i="13"/>
  <c r="I12" i="13"/>
  <c r="I8" i="13"/>
  <c r="I7" i="13"/>
  <c r="N21" i="13"/>
  <c r="N24" i="13" l="1"/>
  <c r="N25" i="13"/>
  <c r="N15" i="13"/>
  <c r="N16" i="13" s="1"/>
  <c r="N13" i="13"/>
  <c r="N12" i="13"/>
  <c r="N8" i="13"/>
  <c r="N7" i="13"/>
  <c r="N10" i="13" s="1"/>
  <c r="N11" i="13" s="1"/>
  <c r="N14" i="13" l="1"/>
  <c r="L69" i="12" l="1"/>
  <c r="L68" i="12"/>
  <c r="L63" i="12"/>
  <c r="L62" i="12"/>
  <c r="L61" i="12"/>
  <c r="L60" i="12"/>
  <c r="L59" i="12"/>
  <c r="L58" i="12"/>
  <c r="L64" i="12" s="1"/>
  <c r="L57" i="12"/>
  <c r="L56" i="12"/>
  <c r="L51" i="12"/>
  <c r="L50" i="12"/>
  <c r="L49" i="12"/>
  <c r="L48" i="12"/>
  <c r="L46" i="12"/>
  <c r="L45" i="12"/>
  <c r="L44" i="12"/>
  <c r="L43" i="12"/>
  <c r="L42" i="12"/>
  <c r="L41" i="12"/>
  <c r="L40" i="12"/>
  <c r="L39" i="12"/>
  <c r="L35" i="12"/>
  <c r="L34" i="12"/>
  <c r="L33" i="12"/>
  <c r="L29" i="12"/>
  <c r="L26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L4" i="12"/>
  <c r="L3" i="12"/>
  <c r="L5" i="12" s="1"/>
  <c r="L75" i="12"/>
  <c r="L53" i="12" l="1"/>
  <c r="L22" i="12"/>
  <c r="L32" i="12" s="1"/>
  <c r="L36" i="12" s="1"/>
  <c r="L66" i="12" s="1"/>
  <c r="L70" i="12" s="1"/>
  <c r="L53" i="10"/>
  <c r="L50" i="10"/>
  <c r="L49" i="10"/>
  <c r="L48" i="10"/>
  <c r="L52" i="10"/>
  <c r="L46" i="10"/>
  <c r="L43" i="10"/>
  <c r="L42" i="10"/>
  <c r="L41" i="10"/>
  <c r="L40" i="10"/>
  <c r="L39" i="10"/>
  <c r="L34" i="10"/>
  <c r="L33" i="10"/>
  <c r="L35" i="10" s="1"/>
  <c r="L31" i="10"/>
  <c r="L30" i="10"/>
  <c r="L29" i="10"/>
  <c r="L28" i="10"/>
  <c r="L27" i="10"/>
  <c r="L26" i="10"/>
  <c r="L22" i="10"/>
  <c r="L20" i="10"/>
  <c r="L19" i="10"/>
  <c r="L18" i="10"/>
  <c r="L21" i="10"/>
  <c r="L14" i="10"/>
  <c r="L13" i="10"/>
  <c r="L12" i="10"/>
  <c r="L11" i="10"/>
  <c r="L10" i="10"/>
  <c r="L9" i="10"/>
  <c r="L44" i="10"/>
  <c r="L15" i="10"/>
  <c r="N37" i="11"/>
  <c r="N36" i="11"/>
  <c r="N33" i="11"/>
  <c r="N32" i="11"/>
  <c r="N26" i="11"/>
  <c r="N22" i="11"/>
  <c r="N20" i="11"/>
  <c r="N19" i="11"/>
  <c r="N18" i="11"/>
  <c r="N15" i="11"/>
  <c r="N14" i="11"/>
  <c r="N13" i="11"/>
  <c r="N12" i="11"/>
  <c r="N11" i="11"/>
  <c r="N9" i="11"/>
  <c r="N8" i="11"/>
  <c r="N38" i="11"/>
  <c r="N34" i="11"/>
  <c r="L6" i="22" s="1"/>
  <c r="N41" i="11" l="1"/>
  <c r="K115" i="7"/>
  <c r="N42" i="11"/>
  <c r="N10" i="11"/>
  <c r="L23" i="10"/>
  <c r="L54" i="10"/>
  <c r="L55" i="10" s="1"/>
  <c r="N16" i="11" l="1"/>
  <c r="L3" i="22"/>
  <c r="K116" i="7"/>
  <c r="L56" i="10"/>
  <c r="N21" i="11" l="1"/>
  <c r="L4" i="22"/>
  <c r="K118" i="7"/>
  <c r="H7" i="24"/>
  <c r="C26" i="6" s="1"/>
  <c r="H13" i="13"/>
  <c r="H7" i="13"/>
  <c r="N23" i="11" l="1"/>
  <c r="N28" i="11" s="1"/>
  <c r="H15" i="13"/>
  <c r="N29" i="6" l="1"/>
  <c r="M29" i="6"/>
  <c r="L29" i="6"/>
  <c r="K29" i="6"/>
  <c r="J29" i="6"/>
  <c r="M32" i="6"/>
  <c r="M31" i="6"/>
  <c r="M30" i="6" s="1"/>
  <c r="L30" i="6"/>
  <c r="K30" i="6"/>
  <c r="M16" i="25" l="1"/>
  <c r="M16" i="24"/>
  <c r="M21" i="13" l="1"/>
  <c r="L23" i="14" l="1"/>
  <c r="L22" i="14"/>
  <c r="L21" i="14"/>
  <c r="L20" i="14"/>
  <c r="L19" i="14"/>
  <c r="G23" i="14"/>
  <c r="G22" i="14"/>
  <c r="G21" i="14"/>
  <c r="G20" i="14"/>
  <c r="G19" i="14"/>
  <c r="L15" i="25" l="1"/>
  <c r="L16" i="25" s="1"/>
  <c r="G15" i="25"/>
  <c r="G16" i="25" s="1"/>
  <c r="G20" i="13"/>
  <c r="G21" i="13" s="1"/>
  <c r="G19" i="13"/>
  <c r="G15" i="24"/>
  <c r="G16" i="24" l="1"/>
  <c r="H12" i="22" l="1"/>
  <c r="H11" i="22"/>
  <c r="H10" i="22"/>
  <c r="C210" i="9" l="1"/>
  <c r="C213" i="9" s="1"/>
  <c r="K16" i="25" l="1"/>
  <c r="K16" i="24"/>
  <c r="N31" i="6" l="1"/>
  <c r="K21" i="13"/>
  <c r="P168" i="9" l="1"/>
  <c r="P147" i="9"/>
  <c r="P126" i="9"/>
  <c r="P105" i="9"/>
  <c r="G168" i="9"/>
  <c r="G147" i="9"/>
  <c r="G21" i="9"/>
  <c r="G105" i="9"/>
  <c r="G126" i="9"/>
  <c r="J16" i="25" l="1"/>
  <c r="I16" i="25"/>
  <c r="F16" i="25"/>
  <c r="E16" i="25"/>
  <c r="D16" i="25"/>
  <c r="C16" i="25"/>
  <c r="H16" i="25"/>
  <c r="J16" i="24" l="1"/>
  <c r="I16" i="24"/>
  <c r="F16" i="24"/>
  <c r="E16" i="24"/>
  <c r="D16" i="24"/>
  <c r="C16" i="24"/>
  <c r="H15" i="24"/>
  <c r="L15" i="24" l="1"/>
  <c r="H16" i="24"/>
  <c r="L16" i="24" l="1"/>
  <c r="G12" i="22"/>
  <c r="G11" i="22"/>
  <c r="G10" i="22"/>
  <c r="F10" i="22"/>
  <c r="F11" i="22"/>
  <c r="F12" i="22"/>
  <c r="O5" i="15" l="1"/>
  <c r="O5" i="14"/>
  <c r="J21" i="13" l="1"/>
  <c r="N193" i="9" l="1"/>
  <c r="L193" i="9"/>
  <c r="N175" i="9"/>
  <c r="L175" i="9"/>
  <c r="N166" i="9"/>
  <c r="L166" i="9"/>
  <c r="N154" i="9"/>
  <c r="L154" i="9"/>
  <c r="N145" i="9"/>
  <c r="L145" i="9"/>
  <c r="N133" i="9"/>
  <c r="L133" i="9"/>
  <c r="N124" i="9"/>
  <c r="L124" i="9"/>
  <c r="N112" i="9"/>
  <c r="L112" i="9"/>
  <c r="N103" i="9"/>
  <c r="L103" i="9"/>
  <c r="N91" i="9"/>
  <c r="L91" i="9"/>
  <c r="N82" i="9"/>
  <c r="L82" i="9"/>
  <c r="N70" i="9"/>
  <c r="L70" i="9"/>
  <c r="N61" i="9"/>
  <c r="L61" i="9"/>
  <c r="N49" i="9"/>
  <c r="L49" i="9"/>
  <c r="N40" i="9"/>
  <c r="L40" i="9"/>
  <c r="N28" i="9"/>
  <c r="L28" i="9"/>
  <c r="N19" i="9"/>
  <c r="L19" i="9"/>
  <c r="A5" i="5" l="1"/>
  <c r="A4" i="5"/>
  <c r="A2" i="5"/>
  <c r="J14" i="15" l="1"/>
  <c r="J12" i="15"/>
  <c r="J8" i="14"/>
  <c r="J8" i="15"/>
  <c r="H12" i="15"/>
  <c r="H11" i="15"/>
  <c r="M7" i="14"/>
  <c r="H8" i="15"/>
  <c r="H14" i="14"/>
  <c r="H7" i="15"/>
  <c r="H12" i="14"/>
  <c r="H7" i="14"/>
  <c r="M7" i="24"/>
  <c r="C31" i="6" s="1"/>
  <c r="M12" i="14"/>
  <c r="M8" i="24"/>
  <c r="H60" i="7"/>
  <c r="M14" i="15"/>
  <c r="H8" i="14"/>
  <c r="M8" i="25"/>
  <c r="M11" i="15"/>
  <c r="H8" i="25"/>
  <c r="H20" i="25" s="1"/>
  <c r="M8" i="14"/>
  <c r="H58" i="7"/>
  <c r="M12" i="15"/>
  <c r="M14" i="14"/>
  <c r="M7" i="25"/>
  <c r="H56" i="7"/>
  <c r="M7" i="15"/>
  <c r="H11" i="14"/>
  <c r="H55" i="7"/>
  <c r="M8" i="15"/>
  <c r="M11" i="14"/>
  <c r="H7" i="25"/>
  <c r="G32" i="6"/>
  <c r="H14" i="15"/>
  <c r="H8" i="24"/>
  <c r="M8" i="13"/>
  <c r="M7" i="13"/>
  <c r="H12" i="13"/>
  <c r="M27" i="11"/>
  <c r="H8" i="13"/>
  <c r="M15" i="13"/>
  <c r="M12" i="13"/>
  <c r="M13" i="13"/>
  <c r="K39" i="12"/>
  <c r="K29" i="12"/>
  <c r="K27" i="12"/>
  <c r="K15" i="12"/>
  <c r="M22" i="11"/>
  <c r="K18" i="10"/>
  <c r="K7" i="10"/>
  <c r="M15" i="11"/>
  <c r="C39" i="6"/>
  <c r="H108" i="7"/>
  <c r="H106" i="7"/>
  <c r="C38" i="6"/>
  <c r="C41" i="6" s="1"/>
  <c r="H104" i="7"/>
  <c r="H103" i="7"/>
  <c r="K61" i="12"/>
  <c r="K48" i="12"/>
  <c r="K28" i="12"/>
  <c r="K18" i="12"/>
  <c r="K3" i="12"/>
  <c r="M12" i="11"/>
  <c r="K49" i="10"/>
  <c r="K39" i="10"/>
  <c r="K20" i="10"/>
  <c r="K9" i="10"/>
  <c r="K9" i="12"/>
  <c r="K63" i="12"/>
  <c r="K40" i="10"/>
  <c r="K60" i="12"/>
  <c r="K47" i="12"/>
  <c r="K30" i="12"/>
  <c r="K16" i="12"/>
  <c r="M36" i="11"/>
  <c r="M13" i="11"/>
  <c r="K48" i="10"/>
  <c r="K34" i="10"/>
  <c r="K19" i="10"/>
  <c r="K8" i="10"/>
  <c r="K17" i="12"/>
  <c r="K31" i="10"/>
  <c r="K41" i="10"/>
  <c r="K26" i="10"/>
  <c r="K14" i="12"/>
  <c r="K41" i="12"/>
  <c r="K59" i="12"/>
  <c r="K46" i="12"/>
  <c r="K26" i="12"/>
  <c r="K13" i="12"/>
  <c r="M33" i="11"/>
  <c r="M11" i="11"/>
  <c r="K47" i="10"/>
  <c r="K30" i="10"/>
  <c r="K17" i="10"/>
  <c r="K19" i="12"/>
  <c r="K11" i="10"/>
  <c r="K4" i="12"/>
  <c r="K10" i="10"/>
  <c r="K58" i="12"/>
  <c r="K44" i="12"/>
  <c r="K25" i="12"/>
  <c r="K12" i="12"/>
  <c r="M32" i="11"/>
  <c r="M9" i="11"/>
  <c r="K46" i="10"/>
  <c r="K28" i="10"/>
  <c r="K14" i="10"/>
  <c r="K62" i="12"/>
  <c r="K35" i="12"/>
  <c r="M19" i="11"/>
  <c r="K49" i="12"/>
  <c r="K50" i="10"/>
  <c r="K57" i="12"/>
  <c r="K42" i="12"/>
  <c r="K21" i="12"/>
  <c r="K11" i="12"/>
  <c r="M26" i="11"/>
  <c r="M8" i="11"/>
  <c r="L74" i="12" s="1"/>
  <c r="L76" i="12" s="1"/>
  <c r="K43" i="10"/>
  <c r="K29" i="10"/>
  <c r="K13" i="10"/>
  <c r="K52" i="12"/>
  <c r="K50" i="12"/>
  <c r="K51" i="10"/>
  <c r="K34" i="12"/>
  <c r="K22" i="10"/>
  <c r="K68" i="12"/>
  <c r="K51" i="12"/>
  <c r="K40" i="12"/>
  <c r="K20" i="12"/>
  <c r="K10" i="12"/>
  <c r="M20" i="11"/>
  <c r="K53" i="10"/>
  <c r="K42" i="10"/>
  <c r="K27" i="10"/>
  <c r="K12" i="10"/>
  <c r="K45" i="12"/>
  <c r="K69" i="12"/>
  <c r="K43" i="12"/>
  <c r="M18" i="11"/>
  <c r="M37" i="11"/>
  <c r="E11" i="14"/>
  <c r="J22" i="10"/>
  <c r="I22" i="10"/>
  <c r="J51" i="10"/>
  <c r="J43" i="10"/>
  <c r="J9" i="10"/>
  <c r="J19" i="10"/>
  <c r="J20" i="10"/>
  <c r="E12" i="15"/>
  <c r="E11" i="15"/>
  <c r="E14" i="15"/>
  <c r="E14" i="14"/>
  <c r="E12" i="14"/>
  <c r="K13" i="13"/>
  <c r="F26" i="6"/>
  <c r="H47" i="7"/>
  <c r="F27" i="6"/>
  <c r="H91" i="7"/>
  <c r="H49" i="7"/>
  <c r="H92" i="7"/>
  <c r="H45" i="7"/>
  <c r="H44" i="7"/>
  <c r="F11" i="15"/>
  <c r="K8" i="15"/>
  <c r="F8" i="15"/>
  <c r="K14" i="15"/>
  <c r="K7" i="15"/>
  <c r="J7" i="15"/>
  <c r="K11" i="15"/>
  <c r="K12" i="15"/>
  <c r="F12" i="15"/>
  <c r="F14" i="15"/>
  <c r="J11" i="15"/>
  <c r="F12" i="14"/>
  <c r="K8" i="14"/>
  <c r="F8" i="25"/>
  <c r="F20" i="25" s="1"/>
  <c r="F7" i="25"/>
  <c r="F11" i="14"/>
  <c r="E8" i="25"/>
  <c r="E20" i="25" s="1"/>
  <c r="E7" i="25"/>
  <c r="C7" i="25"/>
  <c r="K14" i="14"/>
  <c r="K7" i="14"/>
  <c r="D8" i="25"/>
  <c r="D20" i="25" s="1"/>
  <c r="D7" i="25"/>
  <c r="J7" i="14"/>
  <c r="C8" i="25"/>
  <c r="C20" i="25" s="1"/>
  <c r="K12" i="14"/>
  <c r="K8" i="25"/>
  <c r="K7" i="25"/>
  <c r="F14" i="14"/>
  <c r="J20" i="25"/>
  <c r="K11" i="14"/>
  <c r="K8" i="24"/>
  <c r="K20" i="24" s="1"/>
  <c r="F13" i="13"/>
  <c r="K15" i="13"/>
  <c r="J69" i="12"/>
  <c r="J61" i="12"/>
  <c r="J57" i="12"/>
  <c r="J49" i="12"/>
  <c r="J45" i="12"/>
  <c r="J41" i="12"/>
  <c r="J34" i="12"/>
  <c r="J26" i="12"/>
  <c r="J18" i="12"/>
  <c r="J14" i="12"/>
  <c r="J10" i="12"/>
  <c r="E13" i="13"/>
  <c r="I69" i="12"/>
  <c r="I61" i="12"/>
  <c r="I57" i="12"/>
  <c r="I49" i="12"/>
  <c r="I45" i="12"/>
  <c r="I41" i="12"/>
  <c r="I34" i="12"/>
  <c r="I26" i="12"/>
  <c r="I18" i="12"/>
  <c r="I14" i="12"/>
  <c r="I10" i="12"/>
  <c r="I25" i="12"/>
  <c r="I9" i="12"/>
  <c r="D7" i="24"/>
  <c r="J59" i="12"/>
  <c r="J47" i="12"/>
  <c r="J39" i="12"/>
  <c r="J75" i="12" s="1"/>
  <c r="J20" i="12"/>
  <c r="J12" i="12"/>
  <c r="I58" i="12"/>
  <c r="I35" i="12"/>
  <c r="I15" i="12"/>
  <c r="F12" i="13"/>
  <c r="K12" i="13"/>
  <c r="J68" i="12"/>
  <c r="J60" i="12"/>
  <c r="J52" i="12"/>
  <c r="J48" i="12"/>
  <c r="J44" i="12"/>
  <c r="J40" i="12"/>
  <c r="J30" i="12"/>
  <c r="J25" i="12"/>
  <c r="J17" i="12"/>
  <c r="J13" i="12"/>
  <c r="J9" i="12"/>
  <c r="E7" i="24"/>
  <c r="E12" i="13"/>
  <c r="I68" i="12"/>
  <c r="I60" i="12"/>
  <c r="I52" i="12"/>
  <c r="I48" i="12"/>
  <c r="I44" i="12"/>
  <c r="I40" i="12"/>
  <c r="I30" i="12"/>
  <c r="I17" i="12"/>
  <c r="I13" i="12"/>
  <c r="E8" i="24"/>
  <c r="F8" i="13"/>
  <c r="K8" i="13"/>
  <c r="J63" i="12"/>
  <c r="J51" i="12"/>
  <c r="J43" i="12"/>
  <c r="J28" i="12"/>
  <c r="J16" i="12"/>
  <c r="J4" i="12"/>
  <c r="I50" i="12"/>
  <c r="I42" i="12"/>
  <c r="I19" i="12"/>
  <c r="I3" i="12"/>
  <c r="D8" i="24"/>
  <c r="C7" i="24"/>
  <c r="E8" i="13"/>
  <c r="I63" i="12"/>
  <c r="I59" i="12"/>
  <c r="I51" i="12"/>
  <c r="I47" i="12"/>
  <c r="I43" i="12"/>
  <c r="I39" i="12"/>
  <c r="I75" i="12" s="1"/>
  <c r="I28" i="12"/>
  <c r="I20" i="12"/>
  <c r="I16" i="12"/>
  <c r="I12" i="12"/>
  <c r="I4" i="12"/>
  <c r="F8" i="24"/>
  <c r="C8" i="24"/>
  <c r="F15" i="13"/>
  <c r="F7" i="13"/>
  <c r="K7" i="13"/>
  <c r="C91" i="7" s="1"/>
  <c r="J62" i="12"/>
  <c r="J58" i="12"/>
  <c r="J50" i="12"/>
  <c r="J46" i="12"/>
  <c r="J42" i="12"/>
  <c r="J35" i="12"/>
  <c r="J27" i="12"/>
  <c r="J19" i="12"/>
  <c r="J15" i="12"/>
  <c r="J11" i="12"/>
  <c r="J3" i="12"/>
  <c r="J5" i="12" s="1"/>
  <c r="F7" i="24"/>
  <c r="K7" i="24"/>
  <c r="E15" i="13"/>
  <c r="E7" i="13"/>
  <c r="I62" i="12"/>
  <c r="I46" i="12"/>
  <c r="I27" i="12"/>
  <c r="I11" i="12"/>
  <c r="J49" i="10"/>
  <c r="J39" i="10"/>
  <c r="J27" i="10"/>
  <c r="J17" i="10"/>
  <c r="J12" i="10"/>
  <c r="J10" i="10"/>
  <c r="L12" i="11"/>
  <c r="I49" i="10"/>
  <c r="I43" i="10"/>
  <c r="I39" i="10"/>
  <c r="J26" i="10"/>
  <c r="J18" i="10"/>
  <c r="J13" i="10"/>
  <c r="I10" i="10"/>
  <c r="J53" i="10"/>
  <c r="J48" i="10"/>
  <c r="J42" i="10"/>
  <c r="J34" i="10"/>
  <c r="I31" i="10"/>
  <c r="J14" i="10"/>
  <c r="J50" i="10"/>
  <c r="J40" i="10"/>
  <c r="I27" i="10"/>
  <c r="I11" i="10"/>
  <c r="I50" i="10"/>
  <c r="I40" i="10"/>
  <c r="I26" i="10"/>
  <c r="J11" i="10"/>
  <c r="I53" i="10"/>
  <c r="I48" i="10"/>
  <c r="I42" i="10"/>
  <c r="I34" i="10"/>
  <c r="I30" i="10"/>
  <c r="I14" i="10"/>
  <c r="I9" i="10"/>
  <c r="J47" i="10"/>
  <c r="J41" i="10"/>
  <c r="J31" i="10"/>
  <c r="I29" i="10"/>
  <c r="I20" i="10"/>
  <c r="I13" i="10"/>
  <c r="J8" i="10"/>
  <c r="I51" i="10"/>
  <c r="I47" i="10"/>
  <c r="I41" i="10"/>
  <c r="J30" i="10"/>
  <c r="I28" i="10"/>
  <c r="I19" i="10"/>
  <c r="I12" i="10"/>
  <c r="I8" i="10"/>
  <c r="J46" i="10"/>
  <c r="J29" i="10"/>
  <c r="I18" i="10"/>
  <c r="J7" i="10"/>
  <c r="I46" i="10"/>
  <c r="J28" i="10"/>
  <c r="I17" i="10"/>
  <c r="I7" i="10"/>
  <c r="L37" i="11"/>
  <c r="L19" i="11"/>
  <c r="J33" i="11"/>
  <c r="J15" i="11"/>
  <c r="J8" i="11"/>
  <c r="J18" i="11"/>
  <c r="L8" i="11"/>
  <c r="L36" i="11"/>
  <c r="L18" i="11"/>
  <c r="J32" i="11"/>
  <c r="J13" i="11"/>
  <c r="J22" i="11"/>
  <c r="L33" i="11"/>
  <c r="L15" i="11"/>
  <c r="J27" i="11"/>
  <c r="J12" i="11"/>
  <c r="J11" i="11"/>
  <c r="L32" i="11"/>
  <c r="L14" i="11"/>
  <c r="J26" i="11"/>
  <c r="L11" i="11"/>
  <c r="L27" i="11"/>
  <c r="L13" i="11"/>
  <c r="L26" i="11"/>
  <c r="J20" i="11"/>
  <c r="L9" i="11"/>
  <c r="L20" i="11"/>
  <c r="L22" i="11"/>
  <c r="J37" i="11"/>
  <c r="J19" i="11"/>
  <c r="J9" i="11"/>
  <c r="J36" i="11"/>
  <c r="C12" i="13"/>
  <c r="C15" i="13"/>
  <c r="D12" i="13"/>
  <c r="C13" i="13"/>
  <c r="D15" i="13"/>
  <c r="D13" i="13"/>
  <c r="A1" i="25"/>
  <c r="A1" i="24"/>
  <c r="H34" i="7"/>
  <c r="H38" i="7"/>
  <c r="H36" i="7"/>
  <c r="H33" i="7"/>
  <c r="E22" i="6"/>
  <c r="E21" i="6"/>
  <c r="F28" i="10"/>
  <c r="H61" i="12"/>
  <c r="H57" i="12"/>
  <c r="H47" i="12"/>
  <c r="H40" i="12"/>
  <c r="H28" i="12"/>
  <c r="H19" i="12"/>
  <c r="H14" i="12"/>
  <c r="H10" i="12"/>
  <c r="G69" i="12"/>
  <c r="G59" i="12"/>
  <c r="G49" i="12"/>
  <c r="G42" i="12"/>
  <c r="G35" i="12"/>
  <c r="G19" i="12"/>
  <c r="G13" i="12"/>
  <c r="H20" i="10"/>
  <c r="G53" i="10"/>
  <c r="G47" i="10"/>
  <c r="G42" i="10"/>
  <c r="G34" i="10"/>
  <c r="G28" i="10"/>
  <c r="G20" i="10"/>
  <c r="G14" i="10"/>
  <c r="G10" i="10"/>
  <c r="I36" i="11"/>
  <c r="G46" i="10"/>
  <c r="G30" i="10"/>
  <c r="G12" i="10"/>
  <c r="H68" i="12"/>
  <c r="H42" i="12"/>
  <c r="H15" i="12"/>
  <c r="G34" i="12"/>
  <c r="G4" i="12"/>
  <c r="G39" i="10"/>
  <c r="G22" i="10"/>
  <c r="G11" i="10"/>
  <c r="F31" i="10"/>
  <c r="F27" i="10"/>
  <c r="H60" i="12"/>
  <c r="H51" i="12"/>
  <c r="H44" i="12"/>
  <c r="H39" i="12"/>
  <c r="H27" i="12"/>
  <c r="H18" i="12"/>
  <c r="H13" i="12"/>
  <c r="H9" i="12"/>
  <c r="G68" i="12"/>
  <c r="G58" i="12"/>
  <c r="G51" i="12"/>
  <c r="G40" i="12"/>
  <c r="G28" i="12"/>
  <c r="G16" i="12"/>
  <c r="G12" i="12"/>
  <c r="G10" i="12"/>
  <c r="G51" i="10"/>
  <c r="G48" i="10"/>
  <c r="G41" i="10"/>
  <c r="G31" i="10"/>
  <c r="G27" i="10"/>
  <c r="G19" i="10"/>
  <c r="G13" i="10"/>
  <c r="G9" i="10"/>
  <c r="G15" i="12"/>
  <c r="G50" i="10"/>
  <c r="G40" i="10"/>
  <c r="G18" i="10"/>
  <c r="G8" i="10"/>
  <c r="H58" i="12"/>
  <c r="H49" i="12"/>
  <c r="H25" i="12"/>
  <c r="H11" i="12"/>
  <c r="G60" i="12"/>
  <c r="G50" i="12"/>
  <c r="G25" i="12"/>
  <c r="G11" i="12"/>
  <c r="G49" i="10"/>
  <c r="G29" i="10"/>
  <c r="G17" i="10"/>
  <c r="G7" i="10"/>
  <c r="F30" i="10"/>
  <c r="H69" i="12"/>
  <c r="H59" i="12"/>
  <c r="H50" i="12"/>
  <c r="H43" i="12"/>
  <c r="H35" i="12"/>
  <c r="H26" i="12"/>
  <c r="H16" i="12"/>
  <c r="H12" i="12"/>
  <c r="H4" i="12"/>
  <c r="G61" i="12"/>
  <c r="G57" i="12"/>
  <c r="G44" i="12"/>
  <c r="G39" i="12"/>
  <c r="G27" i="12"/>
  <c r="G18" i="12"/>
  <c r="G9" i="12"/>
  <c r="G26" i="10"/>
  <c r="F29" i="10"/>
  <c r="H34" i="12"/>
  <c r="H3" i="12"/>
  <c r="G43" i="12"/>
  <c r="G14" i="12"/>
  <c r="G43" i="10"/>
  <c r="D12" i="11"/>
  <c r="D13" i="11"/>
  <c r="C22" i="6"/>
  <c r="C17" i="6"/>
  <c r="C12" i="6"/>
  <c r="C7" i="6"/>
  <c r="M49" i="7"/>
  <c r="M45" i="7"/>
  <c r="M38" i="7"/>
  <c r="M34" i="7"/>
  <c r="N25" i="7"/>
  <c r="N21" i="7"/>
  <c r="H23" i="7"/>
  <c r="M10" i="7"/>
  <c r="M7" i="7"/>
  <c r="D12" i="15"/>
  <c r="I8" i="15"/>
  <c r="F7" i="15"/>
  <c r="F7" i="14"/>
  <c r="D69" i="12"/>
  <c r="H63" i="12"/>
  <c r="E62" i="12"/>
  <c r="C61" i="12"/>
  <c r="E58" i="12"/>
  <c r="C57" i="12"/>
  <c r="E50" i="12"/>
  <c r="C49" i="12"/>
  <c r="G47" i="12"/>
  <c r="F21" i="6"/>
  <c r="F16" i="6"/>
  <c r="F11" i="6"/>
  <c r="F6" i="6"/>
  <c r="L49" i="7"/>
  <c r="L45" i="7"/>
  <c r="L38" i="7"/>
  <c r="L34" i="7"/>
  <c r="O25" i="7"/>
  <c r="O21" i="7"/>
  <c r="H25" i="7"/>
  <c r="L10" i="7"/>
  <c r="L7" i="7"/>
  <c r="C12" i="15"/>
  <c r="E7" i="15"/>
  <c r="E7" i="14"/>
  <c r="D7" i="13"/>
  <c r="C69" i="12"/>
  <c r="G63" i="12"/>
  <c r="D62" i="12"/>
  <c r="F59" i="12"/>
  <c r="D58" i="12"/>
  <c r="H52" i="12"/>
  <c r="F51" i="12"/>
  <c r="D50" i="12"/>
  <c r="H48" i="12"/>
  <c r="F47" i="12"/>
  <c r="D45" i="12"/>
  <c r="F42" i="12"/>
  <c r="D41" i="12"/>
  <c r="E16" i="6"/>
  <c r="E11" i="6"/>
  <c r="E6" i="6"/>
  <c r="O47" i="7"/>
  <c r="O44" i="7"/>
  <c r="O36" i="7"/>
  <c r="O33" i="7"/>
  <c r="O23" i="7"/>
  <c r="O20" i="7"/>
  <c r="L12" i="7"/>
  <c r="L8" i="7"/>
  <c r="H12" i="7"/>
  <c r="D14" i="15"/>
  <c r="I11" i="15"/>
  <c r="D7" i="15"/>
  <c r="D14" i="14"/>
  <c r="F8" i="14"/>
  <c r="D7" i="14"/>
  <c r="C7" i="13"/>
  <c r="E63" i="12"/>
  <c r="F63" i="12" s="1"/>
  <c r="C62" i="12"/>
  <c r="E59" i="12"/>
  <c r="C58" i="12"/>
  <c r="G52" i="12"/>
  <c r="E51" i="12"/>
  <c r="C50" i="12"/>
  <c r="G48" i="12"/>
  <c r="E47" i="12"/>
  <c r="C45" i="12"/>
  <c r="E42" i="12"/>
  <c r="C41" i="12"/>
  <c r="D21" i="6"/>
  <c r="D16" i="6"/>
  <c r="D11" i="6"/>
  <c r="D6" i="6"/>
  <c r="N47" i="7"/>
  <c r="N44" i="7"/>
  <c r="N36" i="7"/>
  <c r="N33" i="7"/>
  <c r="N23" i="7"/>
  <c r="N20" i="7"/>
  <c r="M12" i="7"/>
  <c r="M8" i="7"/>
  <c r="H10" i="7"/>
  <c r="C14" i="15"/>
  <c r="E8" i="15"/>
  <c r="C7" i="15"/>
  <c r="C14" i="14"/>
  <c r="E8" i="14"/>
  <c r="C7" i="14"/>
  <c r="D8" i="13"/>
  <c r="A1" i="13"/>
  <c r="D63" i="12"/>
  <c r="F60" i="12"/>
  <c r="D59" i="12"/>
  <c r="F52" i="12"/>
  <c r="D51" i="12"/>
  <c r="F48" i="12"/>
  <c r="D47" i="12"/>
  <c r="F43" i="12"/>
  <c r="D42" i="12"/>
  <c r="F39" i="12"/>
  <c r="C21" i="6"/>
  <c r="C16" i="6"/>
  <c r="C11" i="6"/>
  <c r="C6" i="6"/>
  <c r="M47" i="7"/>
  <c r="M44" i="7"/>
  <c r="M36" i="7"/>
  <c r="M33" i="7"/>
  <c r="M23" i="7"/>
  <c r="M20" i="7"/>
  <c r="N12" i="7"/>
  <c r="N8" i="7"/>
  <c r="H8" i="7"/>
  <c r="I12" i="15"/>
  <c r="D8" i="15"/>
  <c r="A1" i="15"/>
  <c r="C12" i="14"/>
  <c r="D8" i="14"/>
  <c r="A2" i="14"/>
  <c r="C8" i="13"/>
  <c r="F68" i="12"/>
  <c r="C63" i="12"/>
  <c r="E60" i="12"/>
  <c r="C59" i="12"/>
  <c r="E52" i="12"/>
  <c r="C51" i="12"/>
  <c r="E48" i="12"/>
  <c r="C47" i="12"/>
  <c r="E43" i="12"/>
  <c r="C42" i="12"/>
  <c r="E39" i="12"/>
  <c r="F22" i="6"/>
  <c r="F17" i="6"/>
  <c r="F12" i="6"/>
  <c r="F7" i="6"/>
  <c r="A1" i="6"/>
  <c r="L47" i="7"/>
  <c r="L44" i="7"/>
  <c r="L36" i="7"/>
  <c r="L33" i="7"/>
  <c r="L23" i="7"/>
  <c r="L20" i="7"/>
  <c r="O12" i="7"/>
  <c r="O8" i="7"/>
  <c r="H7" i="7"/>
  <c r="A1" i="9"/>
  <c r="D22" i="6"/>
  <c r="D17" i="6"/>
  <c r="D12" i="6"/>
  <c r="D7" i="6"/>
  <c r="N49" i="7"/>
  <c r="N45" i="7"/>
  <c r="N38" i="7"/>
  <c r="N34" i="7"/>
  <c r="M25" i="7"/>
  <c r="M21" i="7"/>
  <c r="H21" i="7"/>
  <c r="N10" i="7"/>
  <c r="N7" i="7"/>
  <c r="O38" i="7"/>
  <c r="F62" i="12"/>
  <c r="C44" i="12"/>
  <c r="E41" i="12"/>
  <c r="E34" i="12"/>
  <c r="C30" i="12"/>
  <c r="E26" i="12"/>
  <c r="C25" i="12"/>
  <c r="E18" i="12"/>
  <c r="C17" i="12"/>
  <c r="E14" i="12"/>
  <c r="C13" i="12"/>
  <c r="E10" i="12"/>
  <c r="C9" i="12"/>
  <c r="G3" i="12"/>
  <c r="C53" i="10"/>
  <c r="E49" i="10"/>
  <c r="C48" i="10"/>
  <c r="E43" i="10"/>
  <c r="C42" i="10"/>
  <c r="E39" i="10"/>
  <c r="C34" i="10"/>
  <c r="E29" i="10"/>
  <c r="H27" i="10"/>
  <c r="F26" i="10"/>
  <c r="D20" i="10"/>
  <c r="H18" i="10"/>
  <c r="F17" i="10"/>
  <c r="D14" i="10"/>
  <c r="H12" i="10"/>
  <c r="F11" i="10"/>
  <c r="D10" i="10"/>
  <c r="H8" i="10"/>
  <c r="F7" i="10"/>
  <c r="H36" i="11"/>
  <c r="C36" i="11"/>
  <c r="E32" i="11"/>
  <c r="H26" i="11"/>
  <c r="C26" i="11"/>
  <c r="I19" i="11"/>
  <c r="D19" i="11"/>
  <c r="D18" i="11"/>
  <c r="G14" i="11"/>
  <c r="H11" i="11"/>
  <c r="E13" i="11"/>
  <c r="I9" i="11"/>
  <c r="G8" i="11"/>
  <c r="F74" i="12" s="1"/>
  <c r="E11" i="10"/>
  <c r="C10" i="10"/>
  <c r="E7" i="10"/>
  <c r="G37" i="11"/>
  <c r="I33" i="11"/>
  <c r="D33" i="11"/>
  <c r="G27" i="11"/>
  <c r="I22" i="11"/>
  <c r="E17" i="6"/>
  <c r="O34" i="7"/>
  <c r="D11" i="15"/>
  <c r="D12" i="14"/>
  <c r="F69" i="12"/>
  <c r="F61" i="12"/>
  <c r="F58" i="12"/>
  <c r="H45" i="12"/>
  <c r="D43" i="12"/>
  <c r="F40" i="12"/>
  <c r="F35" i="12"/>
  <c r="D34" i="12"/>
  <c r="F27" i="12"/>
  <c r="D26" i="12"/>
  <c r="H20" i="12"/>
  <c r="F19" i="12"/>
  <c r="D18" i="12"/>
  <c r="F15" i="12"/>
  <c r="D14" i="12"/>
  <c r="F11" i="12"/>
  <c r="D10" i="12"/>
  <c r="F3" i="12"/>
  <c r="F22" i="10"/>
  <c r="H51" i="10"/>
  <c r="F50" i="10"/>
  <c r="D49" i="10"/>
  <c r="H47" i="10"/>
  <c r="F46" i="10"/>
  <c r="D43" i="10"/>
  <c r="H41" i="10"/>
  <c r="F40" i="10"/>
  <c r="D39" i="10"/>
  <c r="H31" i="10"/>
  <c r="C29" i="10"/>
  <c r="E26" i="10"/>
  <c r="C20" i="10"/>
  <c r="E17" i="10"/>
  <c r="C14" i="10"/>
  <c r="E12" i="6"/>
  <c r="L25" i="7"/>
  <c r="C11" i="15"/>
  <c r="E69" i="12"/>
  <c r="E61" i="12"/>
  <c r="F57" i="12"/>
  <c r="F50" i="12"/>
  <c r="G45" i="12"/>
  <c r="C43" i="12"/>
  <c r="E40" i="12"/>
  <c r="E35" i="12"/>
  <c r="C34" i="12"/>
  <c r="E27" i="12"/>
  <c r="C26" i="12"/>
  <c r="G20" i="12"/>
  <c r="E19" i="12"/>
  <c r="C18" i="12"/>
  <c r="E15" i="12"/>
  <c r="C14" i="12"/>
  <c r="E11" i="12"/>
  <c r="C10" i="12"/>
  <c r="E3" i="12"/>
  <c r="E22" i="10"/>
  <c r="E50" i="10"/>
  <c r="C49" i="10"/>
  <c r="E46" i="10"/>
  <c r="C43" i="10"/>
  <c r="E40" i="10"/>
  <c r="C39" i="10"/>
  <c r="E30" i="10"/>
  <c r="H28" i="10"/>
  <c r="D26" i="10"/>
  <c r="H19" i="10"/>
  <c r="F18" i="10"/>
  <c r="D17" i="10"/>
  <c r="H13" i="10"/>
  <c r="F12" i="10"/>
  <c r="D11" i="10"/>
  <c r="H9" i="10"/>
  <c r="F8" i="10"/>
  <c r="D7" i="10"/>
  <c r="G36" i="11"/>
  <c r="I32" i="11"/>
  <c r="D32" i="11"/>
  <c r="G26" i="11"/>
  <c r="H22" i="11"/>
  <c r="H20" i="11"/>
  <c r="C20" i="11"/>
  <c r="C11" i="11"/>
  <c r="H13" i="11"/>
  <c r="E15" i="11"/>
  <c r="C13" i="11"/>
  <c r="G9" i="11"/>
  <c r="D8" i="11"/>
  <c r="F42" i="10"/>
  <c r="D31" i="10"/>
  <c r="C18" i="10"/>
  <c r="E7" i="6"/>
  <c r="L21" i="7"/>
  <c r="C8" i="15"/>
  <c r="E68" i="12"/>
  <c r="D61" i="12"/>
  <c r="E57" i="12"/>
  <c r="F49" i="12"/>
  <c r="F45" i="12"/>
  <c r="D40" i="12"/>
  <c r="D35" i="12"/>
  <c r="H30" i="12"/>
  <c r="F28" i="12"/>
  <c r="D27" i="12"/>
  <c r="F20" i="12"/>
  <c r="D19" i="12"/>
  <c r="H17" i="12"/>
  <c r="F16" i="12"/>
  <c r="D15" i="12"/>
  <c r="F12" i="12"/>
  <c r="D11" i="12"/>
  <c r="F4" i="12"/>
  <c r="D3" i="12"/>
  <c r="D22" i="10"/>
  <c r="H53" i="10"/>
  <c r="F51" i="10"/>
  <c r="D50" i="10"/>
  <c r="H48" i="10"/>
  <c r="F47" i="10"/>
  <c r="D46" i="10"/>
  <c r="H42" i="10"/>
  <c r="F41" i="10"/>
  <c r="D40" i="10"/>
  <c r="H34" i="10"/>
  <c r="D30" i="10"/>
  <c r="E27" i="10"/>
  <c r="C26" i="10"/>
  <c r="E18" i="10"/>
  <c r="C17" i="10"/>
  <c r="E12" i="10"/>
  <c r="C11" i="10"/>
  <c r="E8" i="10"/>
  <c r="C7" i="10"/>
  <c r="E37" i="11"/>
  <c r="H33" i="11"/>
  <c r="C33" i="11"/>
  <c r="E27" i="11"/>
  <c r="G22" i="11"/>
  <c r="H19" i="11"/>
  <c r="C19" i="11"/>
  <c r="I15" i="11"/>
  <c r="G13" i="11"/>
  <c r="D15" i="11"/>
  <c r="E12" i="11"/>
  <c r="E9" i="11"/>
  <c r="C8" i="11"/>
  <c r="H39" i="10"/>
  <c r="H29" i="10"/>
  <c r="C27" i="10"/>
  <c r="H20" i="7"/>
  <c r="I14" i="15"/>
  <c r="I7" i="15"/>
  <c r="D68" i="12"/>
  <c r="D60" i="12"/>
  <c r="D57" i="12"/>
  <c r="E49" i="12"/>
  <c r="E45" i="12"/>
  <c r="C40" i="12"/>
  <c r="C35" i="12"/>
  <c r="G30" i="12"/>
  <c r="E28" i="12"/>
  <c r="C27" i="12"/>
  <c r="E20" i="12"/>
  <c r="C19" i="12"/>
  <c r="G17" i="12"/>
  <c r="E16" i="12"/>
  <c r="C15" i="12"/>
  <c r="E12" i="12"/>
  <c r="C11" i="12"/>
  <c r="E4" i="12"/>
  <c r="C3" i="12"/>
  <c r="C22" i="10"/>
  <c r="E51" i="10"/>
  <c r="C50" i="10"/>
  <c r="E47" i="10"/>
  <c r="C46" i="10"/>
  <c r="E41" i="10"/>
  <c r="C40" i="10"/>
  <c r="E31" i="10"/>
  <c r="C30" i="10"/>
  <c r="D27" i="10"/>
  <c r="F19" i="10"/>
  <c r="D18" i="10"/>
  <c r="H14" i="10"/>
  <c r="F13" i="10"/>
  <c r="D12" i="10"/>
  <c r="H10" i="10"/>
  <c r="F9" i="10"/>
  <c r="D8" i="10"/>
  <c r="A1" i="10"/>
  <c r="E36" i="11"/>
  <c r="H32" i="11"/>
  <c r="C32" i="11"/>
  <c r="E26" i="11"/>
  <c r="E22" i="11"/>
  <c r="G20" i="11"/>
  <c r="I18" i="11"/>
  <c r="H15" i="11"/>
  <c r="I12" i="11"/>
  <c r="C15" i="11"/>
  <c r="D9" i="11"/>
  <c r="A1" i="11"/>
  <c r="D41" i="10"/>
  <c r="F34" i="10"/>
  <c r="E28" i="10"/>
  <c r="E19" i="10"/>
  <c r="O10" i="7"/>
  <c r="D11" i="14"/>
  <c r="C68" i="12"/>
  <c r="C60" i="12"/>
  <c r="D52" i="12"/>
  <c r="D49" i="12"/>
  <c r="F44" i="12"/>
  <c r="H41" i="12"/>
  <c r="D39" i="12"/>
  <c r="F30" i="12"/>
  <c r="D28" i="12"/>
  <c r="F25" i="12"/>
  <c r="D20" i="12"/>
  <c r="F17" i="12"/>
  <c r="D16" i="12"/>
  <c r="F13" i="12"/>
  <c r="D12" i="12"/>
  <c r="F9" i="12"/>
  <c r="D4" i="12"/>
  <c r="A1" i="12"/>
  <c r="F53" i="10"/>
  <c r="D51" i="10"/>
  <c r="H49" i="10"/>
  <c r="F48" i="10"/>
  <c r="D47" i="10"/>
  <c r="O45" i="7"/>
  <c r="A1" i="7"/>
  <c r="C8" i="14"/>
  <c r="C12" i="11"/>
  <c r="H12" i="11"/>
  <c r="H18" i="11"/>
  <c r="D22" i="11"/>
  <c r="G32" i="11"/>
  <c r="F14" i="10"/>
  <c r="H26" i="10"/>
  <c r="E34" i="10"/>
  <c r="H50" i="10"/>
  <c r="D13" i="12"/>
  <c r="F18" i="12"/>
  <c r="F41" i="12"/>
  <c r="C27" i="11"/>
  <c r="C28" i="10"/>
  <c r="C4" i="12"/>
  <c r="H8" i="11"/>
  <c r="D26" i="11"/>
  <c r="H17" i="10"/>
  <c r="H46" i="10"/>
  <c r="D9" i="12"/>
  <c r="F14" i="12"/>
  <c r="D30" i="12"/>
  <c r="G62" i="12"/>
  <c r="D14" i="11"/>
  <c r="E20" i="11"/>
  <c r="D27" i="11"/>
  <c r="D36" i="11"/>
  <c r="C9" i="10"/>
  <c r="C12" i="10"/>
  <c r="C19" i="10"/>
  <c r="H40" i="10"/>
  <c r="C47" i="10"/>
  <c r="E53" i="10"/>
  <c r="E9" i="12"/>
  <c r="C20" i="12"/>
  <c r="E30" i="12"/>
  <c r="E44" i="12"/>
  <c r="H62" i="12"/>
  <c r="O7" i="7"/>
  <c r="I13" i="11"/>
  <c r="C28" i="12"/>
  <c r="H11" i="10"/>
  <c r="G19" i="11"/>
  <c r="D9" i="10"/>
  <c r="D19" i="10"/>
  <c r="C41" i="10"/>
  <c r="F10" i="12"/>
  <c r="D25" i="12"/>
  <c r="F34" i="12"/>
  <c r="C48" i="12"/>
  <c r="O49" i="7"/>
  <c r="G33" i="11"/>
  <c r="F39" i="10"/>
  <c r="H14" i="11"/>
  <c r="C8" i="10"/>
  <c r="D53" i="10"/>
  <c r="D44" i="12"/>
  <c r="I8" i="11"/>
  <c r="I14" i="11"/>
  <c r="C9" i="11"/>
  <c r="E14" i="11"/>
  <c r="G15" i="11"/>
  <c r="H27" i="11"/>
  <c r="D37" i="11"/>
  <c r="C13" i="10"/>
  <c r="D48" i="10"/>
  <c r="H9" i="11"/>
  <c r="G11" i="11"/>
  <c r="C18" i="11"/>
  <c r="I20" i="11"/>
  <c r="I26" i="11"/>
  <c r="H37" i="11"/>
  <c r="E9" i="10"/>
  <c r="D13" i="10"/>
  <c r="E20" i="10"/>
  <c r="H30" i="10"/>
  <c r="D42" i="10"/>
  <c r="E48" i="10"/>
  <c r="C16" i="12"/>
  <c r="E25" i="12"/>
  <c r="D48" i="12"/>
  <c r="E8" i="11"/>
  <c r="D20" i="11"/>
  <c r="H43" i="10"/>
  <c r="E13" i="12"/>
  <c r="G41" i="12"/>
  <c r="E19" i="11"/>
  <c r="D28" i="10"/>
  <c r="C11" i="14"/>
  <c r="D11" i="11"/>
  <c r="I11" i="11"/>
  <c r="E18" i="11"/>
  <c r="I27" i="11"/>
  <c r="E10" i="10"/>
  <c r="E13" i="10"/>
  <c r="F20" i="10"/>
  <c r="C31" i="10"/>
  <c r="E42" i="10"/>
  <c r="F49" i="10"/>
  <c r="H22" i="10"/>
  <c r="D17" i="12"/>
  <c r="F26" i="12"/>
  <c r="H7" i="10"/>
  <c r="C51" i="10"/>
  <c r="C14" i="11"/>
  <c r="C37" i="11"/>
  <c r="E11" i="11"/>
  <c r="G12" i="11"/>
  <c r="G18" i="11"/>
  <c r="C22" i="11"/>
  <c r="E33" i="11"/>
  <c r="I37" i="11"/>
  <c r="F10" i="10"/>
  <c r="E14" i="10"/>
  <c r="D34" i="10"/>
  <c r="F43" i="10"/>
  <c r="D29" i="10"/>
  <c r="C12" i="12"/>
  <c r="E17" i="12"/>
  <c r="G26" i="12"/>
  <c r="C39" i="12"/>
  <c r="C75" i="12" s="1"/>
  <c r="C52" i="12"/>
  <c r="C42" i="6" l="1"/>
  <c r="E141" i="9"/>
  <c r="C141" i="9"/>
  <c r="K52" i="10"/>
  <c r="J21" i="10"/>
  <c r="K5" i="12"/>
  <c r="L12" i="15"/>
  <c r="J44" i="10"/>
  <c r="H93" i="7"/>
  <c r="L11" i="15"/>
  <c r="F10" i="25"/>
  <c r="F11" i="25" s="1"/>
  <c r="K74" i="12"/>
  <c r="M10" i="11"/>
  <c r="F108" i="7"/>
  <c r="M15" i="14"/>
  <c r="H109" i="7"/>
  <c r="K10" i="25"/>
  <c r="K33" i="10"/>
  <c r="K35" i="10" s="1"/>
  <c r="C103" i="7"/>
  <c r="M24" i="13"/>
  <c r="M10" i="13"/>
  <c r="K15" i="10"/>
  <c r="G7" i="15"/>
  <c r="K64" i="12"/>
  <c r="K22" i="12"/>
  <c r="K32" i="12" s="1"/>
  <c r="K36" i="12" s="1"/>
  <c r="G106" i="7"/>
  <c r="M13" i="15"/>
  <c r="G103" i="7"/>
  <c r="M9" i="15"/>
  <c r="K44" i="10"/>
  <c r="C108" i="7"/>
  <c r="M16" i="13"/>
  <c r="M25" i="13"/>
  <c r="F103" i="7"/>
  <c r="M9" i="14"/>
  <c r="G108" i="7"/>
  <c r="M15" i="15"/>
  <c r="G11" i="14"/>
  <c r="H105" i="7"/>
  <c r="G11" i="15"/>
  <c r="M41" i="11"/>
  <c r="M34" i="11"/>
  <c r="C106" i="7"/>
  <c r="M14" i="13"/>
  <c r="E103" i="7"/>
  <c r="M19" i="25"/>
  <c r="M10" i="25"/>
  <c r="H107" i="7"/>
  <c r="M42" i="11"/>
  <c r="M38" i="11"/>
  <c r="K21" i="10"/>
  <c r="M20" i="24"/>
  <c r="G31" i="6"/>
  <c r="C30" i="6"/>
  <c r="G30" i="6" s="1"/>
  <c r="K75" i="12"/>
  <c r="K53" i="12"/>
  <c r="D103" i="7"/>
  <c r="M19" i="24"/>
  <c r="M10" i="24"/>
  <c r="F106" i="7"/>
  <c r="M13" i="14"/>
  <c r="M20" i="25"/>
  <c r="I10" i="25"/>
  <c r="G8" i="14"/>
  <c r="L7" i="14"/>
  <c r="G14" i="15"/>
  <c r="G8" i="15"/>
  <c r="G7" i="14"/>
  <c r="L8" i="13"/>
  <c r="L7" i="15"/>
  <c r="H20" i="24"/>
  <c r="L8" i="24"/>
  <c r="H97" i="7"/>
  <c r="L8" i="25"/>
  <c r="D10" i="25"/>
  <c r="D21" i="25" s="1"/>
  <c r="L11" i="14"/>
  <c r="L8" i="14"/>
  <c r="G13" i="13"/>
  <c r="L15" i="13"/>
  <c r="H95" i="7"/>
  <c r="L14" i="15"/>
  <c r="L7" i="13"/>
  <c r="L14" i="14"/>
  <c r="G8" i="13"/>
  <c r="G25" i="13" s="1"/>
  <c r="G14" i="14"/>
  <c r="L12" i="14"/>
  <c r="G7" i="13"/>
  <c r="L13" i="13"/>
  <c r="L8" i="15"/>
  <c r="G15" i="13"/>
  <c r="J10" i="25"/>
  <c r="J21" i="25" s="1"/>
  <c r="H10" i="25"/>
  <c r="L7" i="25"/>
  <c r="C10" i="25"/>
  <c r="C21" i="25" s="1"/>
  <c r="G7" i="25"/>
  <c r="G12" i="13"/>
  <c r="G12" i="14"/>
  <c r="G12" i="15"/>
  <c r="L12" i="13"/>
  <c r="L7" i="24"/>
  <c r="G8" i="25"/>
  <c r="G20" i="25" s="1"/>
  <c r="E10" i="25"/>
  <c r="E21" i="25" s="1"/>
  <c r="G7" i="24"/>
  <c r="G8" i="24"/>
  <c r="G20" i="24" s="1"/>
  <c r="J53" i="12"/>
  <c r="L198" i="9"/>
  <c r="L197" i="9"/>
  <c r="N196" i="9"/>
  <c r="N197" i="9"/>
  <c r="L199" i="9"/>
  <c r="N195" i="9"/>
  <c r="L195" i="9"/>
  <c r="L196" i="9"/>
  <c r="N198" i="9"/>
  <c r="N199" i="9"/>
  <c r="K27" i="11"/>
  <c r="C94" i="7"/>
  <c r="K14" i="13"/>
  <c r="K14" i="11"/>
  <c r="K19" i="11"/>
  <c r="G91" i="7"/>
  <c r="K9" i="15"/>
  <c r="L10" i="11"/>
  <c r="L16" i="11" s="1"/>
  <c r="L21" i="11" s="1"/>
  <c r="L23" i="11" s="1"/>
  <c r="L28" i="11" s="1"/>
  <c r="K8" i="11"/>
  <c r="J74" i="12"/>
  <c r="J76" i="12" s="1"/>
  <c r="J22" i="12"/>
  <c r="J32" i="12" s="1"/>
  <c r="J36" i="12" s="1"/>
  <c r="K24" i="13"/>
  <c r="K10" i="13"/>
  <c r="F16" i="13"/>
  <c r="J15" i="10"/>
  <c r="L34" i="11"/>
  <c r="K32" i="11"/>
  <c r="L41" i="11"/>
  <c r="K37" i="11"/>
  <c r="F94" i="7"/>
  <c r="K13" i="14"/>
  <c r="K36" i="11"/>
  <c r="L38" i="11"/>
  <c r="K26" i="11"/>
  <c r="K16" i="13"/>
  <c r="C96" i="7"/>
  <c r="K19" i="24"/>
  <c r="D91" i="7"/>
  <c r="K10" i="24"/>
  <c r="J33" i="10"/>
  <c r="J35" i="10" s="1"/>
  <c r="J52" i="10"/>
  <c r="K12" i="11"/>
  <c r="K22" i="11"/>
  <c r="F14" i="13"/>
  <c r="K13" i="15"/>
  <c r="G94" i="7"/>
  <c r="F91" i="7"/>
  <c r="K9" i="14"/>
  <c r="K15" i="11"/>
  <c r="K9" i="11"/>
  <c r="F96" i="7"/>
  <c r="K15" i="14"/>
  <c r="K25" i="13"/>
  <c r="F10" i="13"/>
  <c r="F11" i="13" s="1"/>
  <c r="K11" i="11"/>
  <c r="L42" i="11"/>
  <c r="K33" i="11"/>
  <c r="K42" i="11" s="1"/>
  <c r="K20" i="11"/>
  <c r="J64" i="12"/>
  <c r="G96" i="7"/>
  <c r="K15" i="15"/>
  <c r="K20" i="25"/>
  <c r="K19" i="25"/>
  <c r="E91" i="7"/>
  <c r="K13" i="11"/>
  <c r="K18" i="11"/>
  <c r="I20" i="25"/>
  <c r="F20" i="24"/>
  <c r="I14" i="13"/>
  <c r="I16" i="13"/>
  <c r="D16" i="13"/>
  <c r="D14" i="13"/>
  <c r="C14" i="13"/>
  <c r="C16" i="13"/>
  <c r="E14" i="13"/>
  <c r="E16" i="13"/>
  <c r="H14" i="13"/>
  <c r="H16" i="13"/>
  <c r="J14" i="13"/>
  <c r="J16" i="13"/>
  <c r="D79" i="7"/>
  <c r="I19" i="25"/>
  <c r="E19" i="25"/>
  <c r="C19" i="25"/>
  <c r="D19" i="25"/>
  <c r="F19" i="25"/>
  <c r="E44" i="7"/>
  <c r="J19" i="25"/>
  <c r="E55" i="7"/>
  <c r="H19" i="25"/>
  <c r="F10" i="24"/>
  <c r="D44" i="7"/>
  <c r="F19" i="24"/>
  <c r="E20" i="7"/>
  <c r="E79" i="7"/>
  <c r="H10" i="24"/>
  <c r="D55" i="7"/>
  <c r="H19" i="24"/>
  <c r="E7" i="7"/>
  <c r="E33" i="7"/>
  <c r="C70" i="7"/>
  <c r="C72" i="7"/>
  <c r="I10" i="24"/>
  <c r="D67" i="7"/>
  <c r="I19" i="24"/>
  <c r="C20" i="24"/>
  <c r="C10" i="24"/>
  <c r="C21" i="24" s="1"/>
  <c r="D7" i="7"/>
  <c r="C19" i="24"/>
  <c r="E67" i="7"/>
  <c r="D33" i="7"/>
  <c r="E10" i="24"/>
  <c r="E21" i="24" s="1"/>
  <c r="I20" i="24"/>
  <c r="D20" i="7"/>
  <c r="D10" i="24"/>
  <c r="D21" i="24" s="1"/>
  <c r="D19" i="24"/>
  <c r="D20" i="24"/>
  <c r="I5" i="12"/>
  <c r="I22" i="12" s="1"/>
  <c r="I32" i="12" s="1"/>
  <c r="I36" i="12" s="1"/>
  <c r="N78" i="9"/>
  <c r="N99" i="9"/>
  <c r="L36" i="9"/>
  <c r="I53" i="12"/>
  <c r="E57" i="9"/>
  <c r="C199" i="9"/>
  <c r="E183" i="9"/>
  <c r="N162" i="9"/>
  <c r="L78" i="9"/>
  <c r="I44" i="10"/>
  <c r="C162" i="9"/>
  <c r="I21" i="10"/>
  <c r="C196" i="9"/>
  <c r="C36" i="9"/>
  <c r="C120" i="9"/>
  <c r="E78" i="9"/>
  <c r="C99" i="9"/>
  <c r="L14" i="9"/>
  <c r="N120" i="9"/>
  <c r="L120" i="9"/>
  <c r="N36" i="9"/>
  <c r="E99" i="9"/>
  <c r="C57" i="9"/>
  <c r="H74" i="12"/>
  <c r="I74" i="12"/>
  <c r="I52" i="10"/>
  <c r="I33" i="10"/>
  <c r="I35" i="10" s="1"/>
  <c r="I15" i="10"/>
  <c r="C78" i="9"/>
  <c r="C198" i="9"/>
  <c r="E120" i="9"/>
  <c r="L162" i="9"/>
  <c r="N141" i="9"/>
  <c r="L99" i="9"/>
  <c r="N14" i="9"/>
  <c r="C197" i="9"/>
  <c r="E162" i="9"/>
  <c r="C195" i="9"/>
  <c r="C183" i="9"/>
  <c r="L183" i="9"/>
  <c r="L57" i="9"/>
  <c r="L141" i="9"/>
  <c r="N183" i="9"/>
  <c r="N57" i="9"/>
  <c r="I64" i="12"/>
  <c r="J41" i="11"/>
  <c r="J34" i="11"/>
  <c r="J38" i="11"/>
  <c r="J42" i="11"/>
  <c r="J10" i="11"/>
  <c r="E74" i="12"/>
  <c r="D74" i="12"/>
  <c r="P44" i="7"/>
  <c r="G33" i="10"/>
  <c r="P45" i="7"/>
  <c r="P47" i="7"/>
  <c r="E33" i="10"/>
  <c r="H33" i="10"/>
  <c r="F18" i="11"/>
  <c r="F33" i="10"/>
  <c r="C33" i="10"/>
  <c r="D33" i="10"/>
  <c r="P49" i="7"/>
  <c r="I21" i="24" l="1"/>
  <c r="O10" i="24"/>
  <c r="P10" i="24" s="1"/>
  <c r="K54" i="10"/>
  <c r="J23" i="10"/>
  <c r="K55" i="10"/>
  <c r="J54" i="10"/>
  <c r="J55" i="10" s="1"/>
  <c r="J56" i="10" s="1"/>
  <c r="F107" i="7"/>
  <c r="G9" i="14"/>
  <c r="G10" i="14" s="1"/>
  <c r="F109" i="7"/>
  <c r="K76" i="12"/>
  <c r="F104" i="7"/>
  <c r="F105" i="7" s="1"/>
  <c r="M10" i="14"/>
  <c r="C104" i="7"/>
  <c r="M11" i="13"/>
  <c r="C107" i="7"/>
  <c r="I106" i="7"/>
  <c r="G107" i="7"/>
  <c r="K6" i="22"/>
  <c r="K66" i="12"/>
  <c r="K70" i="12" s="1"/>
  <c r="G104" i="7"/>
  <c r="G105" i="7" s="1"/>
  <c r="M10" i="15"/>
  <c r="C109" i="7"/>
  <c r="I108" i="7"/>
  <c r="K3" i="22"/>
  <c r="M16" i="11"/>
  <c r="G13" i="14"/>
  <c r="D104" i="7"/>
  <c r="D105" i="7" s="1"/>
  <c r="M11" i="24"/>
  <c r="M21" i="24"/>
  <c r="J103" i="7"/>
  <c r="I103" i="7"/>
  <c r="K103" i="7" s="1"/>
  <c r="E104" i="7"/>
  <c r="E105" i="7" s="1"/>
  <c r="M11" i="25"/>
  <c r="M21" i="25"/>
  <c r="G109" i="7"/>
  <c r="K23" i="10"/>
  <c r="H21" i="24"/>
  <c r="L9" i="15"/>
  <c r="G9" i="15"/>
  <c r="G10" i="15" s="1"/>
  <c r="G15" i="15"/>
  <c r="G13" i="15"/>
  <c r="L13" i="15"/>
  <c r="L9" i="14"/>
  <c r="L10" i="14" s="1"/>
  <c r="G15" i="14"/>
  <c r="L10" i="24"/>
  <c r="L19" i="24"/>
  <c r="G24" i="13"/>
  <c r="G10" i="13"/>
  <c r="G11" i="13" s="1"/>
  <c r="G16" i="13"/>
  <c r="L16" i="13"/>
  <c r="L10" i="25"/>
  <c r="L19" i="25"/>
  <c r="L15" i="15"/>
  <c r="L13" i="14"/>
  <c r="L20" i="25"/>
  <c r="G14" i="13"/>
  <c r="G19" i="25"/>
  <c r="G10" i="25"/>
  <c r="L14" i="13"/>
  <c r="L20" i="24"/>
  <c r="L10" i="13"/>
  <c r="L15" i="14"/>
  <c r="G10" i="24"/>
  <c r="G19" i="24"/>
  <c r="J91" i="7"/>
  <c r="I91" i="7"/>
  <c r="C97" i="7"/>
  <c r="G97" i="7"/>
  <c r="I96" i="7"/>
  <c r="G95" i="7"/>
  <c r="I94" i="7"/>
  <c r="J66" i="12"/>
  <c r="J70" i="12" s="1"/>
  <c r="K38" i="11"/>
  <c r="F97" i="7"/>
  <c r="K10" i="11"/>
  <c r="F95" i="7"/>
  <c r="K10" i="14"/>
  <c r="F92" i="7"/>
  <c r="F93" i="7" s="1"/>
  <c r="K11" i="13"/>
  <c r="C92" i="7"/>
  <c r="K10" i="15"/>
  <c r="G92" i="7"/>
  <c r="K34" i="11"/>
  <c r="K41" i="11"/>
  <c r="C95" i="7"/>
  <c r="E92" i="7"/>
  <c r="E93" i="7" s="1"/>
  <c r="K21" i="25"/>
  <c r="K11" i="25"/>
  <c r="D92" i="7"/>
  <c r="K21" i="24"/>
  <c r="K11" i="24"/>
  <c r="I21" i="25"/>
  <c r="I3" i="22"/>
  <c r="I6" i="22"/>
  <c r="H11" i="25"/>
  <c r="H21" i="25"/>
  <c r="F21" i="25"/>
  <c r="E45" i="7"/>
  <c r="E46" i="7" s="1"/>
  <c r="F11" i="24"/>
  <c r="F21" i="24"/>
  <c r="D45" i="7"/>
  <c r="D46" i="7" s="1"/>
  <c r="E56" i="7"/>
  <c r="E57" i="7" s="1"/>
  <c r="I66" i="12"/>
  <c r="I70" i="12" s="1"/>
  <c r="D11" i="25"/>
  <c r="E21" i="7"/>
  <c r="E22" i="7" s="1"/>
  <c r="D11" i="24"/>
  <c r="D21" i="7"/>
  <c r="E11" i="24"/>
  <c r="D34" i="7"/>
  <c r="D68" i="7"/>
  <c r="I11" i="24"/>
  <c r="C11" i="25"/>
  <c r="E8" i="7"/>
  <c r="E9" i="7" s="1"/>
  <c r="C11" i="24"/>
  <c r="D8" i="7"/>
  <c r="E80" i="7"/>
  <c r="E81" i="7" s="1"/>
  <c r="J11" i="25"/>
  <c r="I11" i="25"/>
  <c r="E68" i="7"/>
  <c r="E69" i="7" s="1"/>
  <c r="E11" i="25"/>
  <c r="E34" i="7"/>
  <c r="E35" i="7" s="1"/>
  <c r="H11" i="24"/>
  <c r="D56" i="7"/>
  <c r="I76" i="12"/>
  <c r="I54" i="10"/>
  <c r="I55" i="10" s="1"/>
  <c r="I23" i="10"/>
  <c r="C201" i="9"/>
  <c r="C202" i="9" s="1"/>
  <c r="J16" i="11"/>
  <c r="I4" i="22" s="1"/>
  <c r="P36" i="7"/>
  <c r="P34" i="7"/>
  <c r="P33" i="7"/>
  <c r="L10" i="15" l="1"/>
  <c r="K106" i="7"/>
  <c r="K56" i="10"/>
  <c r="I109" i="7"/>
  <c r="J104" i="7"/>
  <c r="C105" i="7"/>
  <c r="J105" i="7" s="1"/>
  <c r="I104" i="7"/>
  <c r="K104" i="7" s="1"/>
  <c r="K4" i="22"/>
  <c r="M21" i="11"/>
  <c r="I107" i="7"/>
  <c r="L11" i="13"/>
  <c r="L11" i="25"/>
  <c r="L21" i="25"/>
  <c r="I97" i="7"/>
  <c r="L11" i="24"/>
  <c r="L21" i="24"/>
  <c r="G21" i="25"/>
  <c r="G11" i="25"/>
  <c r="I95" i="7"/>
  <c r="G11" i="24"/>
  <c r="G21" i="24"/>
  <c r="C93" i="7"/>
  <c r="J92" i="7"/>
  <c r="G93" i="7"/>
  <c r="I92" i="7"/>
  <c r="D93" i="7"/>
  <c r="J6" i="22"/>
  <c r="I120" i="9"/>
  <c r="J3" i="22"/>
  <c r="K16" i="11"/>
  <c r="I57" i="9"/>
  <c r="I162" i="9"/>
  <c r="I99" i="9"/>
  <c r="I78" i="9"/>
  <c r="I36" i="9"/>
  <c r="I141" i="9"/>
  <c r="D35" i="7"/>
  <c r="D22" i="7"/>
  <c r="D57" i="7"/>
  <c r="D9" i="7"/>
  <c r="D69" i="7"/>
  <c r="I56" i="10"/>
  <c r="J21" i="11"/>
  <c r="P38" i="7"/>
  <c r="I105" i="7" l="1"/>
  <c r="M23" i="11"/>
  <c r="J93" i="7"/>
  <c r="J4" i="22"/>
  <c r="K21" i="11"/>
  <c r="K23" i="11" s="1"/>
  <c r="K28" i="11" s="1"/>
  <c r="I93" i="7"/>
  <c r="J23" i="11"/>
  <c r="P23" i="7"/>
  <c r="P21" i="7"/>
  <c r="P20" i="7"/>
  <c r="M28" i="11" l="1"/>
  <c r="J28" i="11"/>
  <c r="P25" i="7"/>
  <c r="P10" i="7" l="1"/>
  <c r="P8" i="7"/>
  <c r="P7" i="7"/>
  <c r="P12" i="7"/>
  <c r="H73" i="7" l="1"/>
  <c r="H71" i="7"/>
  <c r="H69" i="7"/>
  <c r="H35" i="7"/>
  <c r="H37" i="7"/>
  <c r="H39" i="7"/>
  <c r="P13" i="7"/>
  <c r="O13" i="7"/>
  <c r="N13" i="7"/>
  <c r="M13" i="7"/>
  <c r="L13" i="7"/>
  <c r="H13" i="7"/>
  <c r="H61" i="7"/>
  <c r="H59" i="7"/>
  <c r="H57" i="7"/>
  <c r="P50" i="7"/>
  <c r="O50" i="7"/>
  <c r="N50" i="7"/>
  <c r="M50" i="7"/>
  <c r="L50" i="7"/>
  <c r="H50" i="7"/>
  <c r="P48" i="7"/>
  <c r="O48" i="7"/>
  <c r="N48" i="7"/>
  <c r="M48" i="7"/>
  <c r="L48" i="7"/>
  <c r="H48" i="7"/>
  <c r="P46" i="7"/>
  <c r="O46" i="7"/>
  <c r="N46" i="7"/>
  <c r="M46" i="7"/>
  <c r="L46" i="7"/>
  <c r="H46" i="7"/>
  <c r="P39" i="7"/>
  <c r="O39" i="7"/>
  <c r="N39" i="7"/>
  <c r="M39" i="7"/>
  <c r="L39" i="7"/>
  <c r="P37" i="7"/>
  <c r="O37" i="7"/>
  <c r="N37" i="7"/>
  <c r="M37" i="7"/>
  <c r="L37" i="7"/>
  <c r="P35" i="7"/>
  <c r="O35" i="7"/>
  <c r="N35" i="7"/>
  <c r="M35" i="7"/>
  <c r="L35" i="7"/>
  <c r="P26" i="7"/>
  <c r="O26" i="7"/>
  <c r="N26" i="7"/>
  <c r="M26" i="7"/>
  <c r="L26" i="7"/>
  <c r="P24" i="7"/>
  <c r="O24" i="7"/>
  <c r="N24" i="7"/>
  <c r="M24" i="7"/>
  <c r="L24" i="7"/>
  <c r="P22" i="7"/>
  <c r="O22" i="7"/>
  <c r="N22" i="7"/>
  <c r="M22" i="7"/>
  <c r="L22" i="7"/>
  <c r="H22" i="7"/>
  <c r="H26" i="7"/>
  <c r="H24" i="7"/>
  <c r="P11" i="7"/>
  <c r="O11" i="7"/>
  <c r="N11" i="7"/>
  <c r="M11" i="7"/>
  <c r="L11" i="7"/>
  <c r="P9" i="7"/>
  <c r="O9" i="7"/>
  <c r="N9" i="7"/>
  <c r="M9" i="7"/>
  <c r="L9" i="7"/>
  <c r="H11" i="7"/>
  <c r="H9" i="7"/>
  <c r="N209" i="9"/>
  <c r="N212" i="9" s="1"/>
  <c r="L209" i="9"/>
  <c r="L212" i="9" s="1"/>
  <c r="K190" i="9"/>
  <c r="Q181" i="9"/>
  <c r="P181" i="9"/>
  <c r="P180" i="9"/>
  <c r="Q179" i="9"/>
  <c r="P178" i="9"/>
  <c r="Q177" i="9"/>
  <c r="P177" i="9"/>
  <c r="K172" i="9"/>
  <c r="N169" i="9"/>
  <c r="L169" i="9"/>
  <c r="Q167" i="9"/>
  <c r="P167" i="9"/>
  <c r="Q160" i="9"/>
  <c r="P160" i="9"/>
  <c r="P159" i="9"/>
  <c r="Q159" i="9"/>
  <c r="Q158" i="9"/>
  <c r="P158" i="9"/>
  <c r="P157" i="9"/>
  <c r="Q157" i="9"/>
  <c r="Q156" i="9"/>
  <c r="K151" i="9"/>
  <c r="N148" i="9"/>
  <c r="Q146" i="9"/>
  <c r="P146" i="9"/>
  <c r="P139" i="9"/>
  <c r="P138" i="9"/>
  <c r="Q138" i="9"/>
  <c r="Q137" i="9"/>
  <c r="P137" i="9"/>
  <c r="Q136" i="9"/>
  <c r="P136" i="9"/>
  <c r="P135" i="9"/>
  <c r="K130" i="9"/>
  <c r="N127" i="9"/>
  <c r="L127" i="9"/>
  <c r="Q125" i="9"/>
  <c r="P125" i="9"/>
  <c r="P118" i="9"/>
  <c r="Q117" i="9"/>
  <c r="P117" i="9"/>
  <c r="Q116" i="9"/>
  <c r="Q115" i="9"/>
  <c r="P115" i="9"/>
  <c r="P114" i="9"/>
  <c r="K109" i="9"/>
  <c r="N106" i="9"/>
  <c r="L106" i="9"/>
  <c r="Q104" i="9"/>
  <c r="P104" i="9"/>
  <c r="Q97" i="9"/>
  <c r="Q96" i="9"/>
  <c r="P96" i="9"/>
  <c r="Q95" i="9"/>
  <c r="P94" i="9"/>
  <c r="K88" i="9"/>
  <c r="N85" i="9"/>
  <c r="L85" i="9"/>
  <c r="Q83" i="9"/>
  <c r="P83" i="9"/>
  <c r="Q76" i="9"/>
  <c r="P76" i="9"/>
  <c r="P75" i="9"/>
  <c r="Q74" i="9"/>
  <c r="P74" i="9"/>
  <c r="P73" i="9"/>
  <c r="Q72" i="9"/>
  <c r="K67" i="9"/>
  <c r="N64" i="9"/>
  <c r="L64" i="9"/>
  <c r="Q62" i="9"/>
  <c r="P62" i="9"/>
  <c r="Q55" i="9"/>
  <c r="P55" i="9"/>
  <c r="Q54" i="9"/>
  <c r="P53" i="9"/>
  <c r="Q51" i="9"/>
  <c r="P51" i="9"/>
  <c r="K46" i="9"/>
  <c r="Q41" i="9"/>
  <c r="P41" i="9"/>
  <c r="P34" i="9"/>
  <c r="Q33" i="9"/>
  <c r="P32" i="9"/>
  <c r="Q31" i="9"/>
  <c r="P31" i="9"/>
  <c r="P30" i="9"/>
  <c r="K25" i="9"/>
  <c r="N22" i="9"/>
  <c r="L22" i="9"/>
  <c r="Q20" i="9"/>
  <c r="P20" i="9"/>
  <c r="Q12" i="9"/>
  <c r="P11" i="9"/>
  <c r="Q9" i="9"/>
  <c r="P9" i="9"/>
  <c r="E209" i="9"/>
  <c r="C209" i="9"/>
  <c r="C212" i="9" s="1"/>
  <c r="E193" i="9"/>
  <c r="C193" i="9"/>
  <c r="B190" i="9"/>
  <c r="H181" i="9"/>
  <c r="G180" i="9"/>
  <c r="H180" i="9"/>
  <c r="G179" i="9"/>
  <c r="H179" i="9"/>
  <c r="H178" i="9"/>
  <c r="E175" i="9"/>
  <c r="C175" i="9"/>
  <c r="B172" i="9"/>
  <c r="E169" i="9"/>
  <c r="C169" i="9"/>
  <c r="H167" i="9"/>
  <c r="G167" i="9"/>
  <c r="E166" i="9"/>
  <c r="C166" i="9"/>
  <c r="H160" i="9"/>
  <c r="H159" i="9"/>
  <c r="G159" i="9"/>
  <c r="G158" i="9"/>
  <c r="H158" i="9"/>
  <c r="H157" i="9"/>
  <c r="E154" i="9"/>
  <c r="C154" i="9"/>
  <c r="B151" i="9"/>
  <c r="E148" i="9"/>
  <c r="C148" i="9"/>
  <c r="H146" i="9"/>
  <c r="G146" i="9"/>
  <c r="E145" i="9"/>
  <c r="C145" i="9"/>
  <c r="H139" i="9"/>
  <c r="H138" i="9"/>
  <c r="G138" i="9"/>
  <c r="G137" i="9"/>
  <c r="H137" i="9"/>
  <c r="F137" i="9"/>
  <c r="H136" i="9"/>
  <c r="E133" i="9"/>
  <c r="C133" i="9"/>
  <c r="B130" i="9"/>
  <c r="E127" i="9"/>
  <c r="C127" i="9"/>
  <c r="H125" i="9"/>
  <c r="G125" i="9"/>
  <c r="E124" i="9"/>
  <c r="C124" i="9"/>
  <c r="H118" i="9"/>
  <c r="H117" i="9"/>
  <c r="G117" i="9"/>
  <c r="G116" i="9"/>
  <c r="H116" i="9"/>
  <c r="H115" i="9"/>
  <c r="E112" i="9"/>
  <c r="C112" i="9"/>
  <c r="B109" i="9"/>
  <c r="E106" i="9"/>
  <c r="C106" i="9"/>
  <c r="H104" i="9"/>
  <c r="G104" i="9"/>
  <c r="E103" i="9"/>
  <c r="C103" i="9"/>
  <c r="H97" i="9"/>
  <c r="H96" i="9"/>
  <c r="G96" i="9"/>
  <c r="G95" i="9"/>
  <c r="H95" i="9"/>
  <c r="H94" i="9"/>
  <c r="E91" i="9"/>
  <c r="C91" i="9"/>
  <c r="B88" i="9"/>
  <c r="E85" i="9"/>
  <c r="C85" i="9"/>
  <c r="H83" i="9"/>
  <c r="G83" i="9"/>
  <c r="E82" i="9"/>
  <c r="C82" i="9"/>
  <c r="H76" i="9"/>
  <c r="H75" i="9"/>
  <c r="G75" i="9"/>
  <c r="G74" i="9"/>
  <c r="H74" i="9"/>
  <c r="H73" i="9"/>
  <c r="H72" i="9"/>
  <c r="E70" i="9"/>
  <c r="C70" i="9"/>
  <c r="B67" i="9"/>
  <c r="E64" i="9"/>
  <c r="C64" i="9"/>
  <c r="H62" i="9"/>
  <c r="G62" i="9"/>
  <c r="E61" i="9"/>
  <c r="C61" i="9"/>
  <c r="H55" i="9"/>
  <c r="H54" i="9"/>
  <c r="G54" i="9"/>
  <c r="G53" i="9"/>
  <c r="H53" i="9"/>
  <c r="H52" i="9"/>
  <c r="H51" i="9"/>
  <c r="E49" i="9"/>
  <c r="C49" i="9"/>
  <c r="B46" i="9"/>
  <c r="H41" i="9"/>
  <c r="G41" i="9"/>
  <c r="E40" i="9"/>
  <c r="C40" i="9"/>
  <c r="H34" i="9"/>
  <c r="H33" i="9"/>
  <c r="G33" i="9"/>
  <c r="H30" i="9"/>
  <c r="E28" i="9"/>
  <c r="C28" i="9"/>
  <c r="B25" i="9"/>
  <c r="E22" i="9"/>
  <c r="H21" i="9"/>
  <c r="H20" i="9"/>
  <c r="G20" i="9"/>
  <c r="E19" i="9"/>
  <c r="C19" i="9"/>
  <c r="H12" i="9"/>
  <c r="H11" i="9"/>
  <c r="G11" i="9"/>
  <c r="E196" i="9"/>
  <c r="H8" i="9"/>
  <c r="E212" i="9" l="1"/>
  <c r="N27" i="6"/>
  <c r="C43" i="9"/>
  <c r="N43" i="9"/>
  <c r="N210" i="9"/>
  <c r="N213" i="9" s="1"/>
  <c r="E43" i="9"/>
  <c r="E210" i="9"/>
  <c r="E213" i="9" s="1"/>
  <c r="L43" i="9"/>
  <c r="L210" i="9"/>
  <c r="L213" i="9" s="1"/>
  <c r="H106" i="9"/>
  <c r="C22" i="9"/>
  <c r="H22" i="9" s="1"/>
  <c r="Q21" i="9"/>
  <c r="G84" i="9"/>
  <c r="G63" i="9"/>
  <c r="G42" i="9"/>
  <c r="O78" i="9"/>
  <c r="O75" i="9"/>
  <c r="O74" i="9"/>
  <c r="O76" i="9"/>
  <c r="O72" i="9"/>
  <c r="O73" i="9"/>
  <c r="O99" i="9"/>
  <c r="O96" i="9"/>
  <c r="O94" i="9"/>
  <c r="O95" i="9"/>
  <c r="O97" i="9"/>
  <c r="O93" i="9"/>
  <c r="M183" i="9"/>
  <c r="M177" i="9"/>
  <c r="M179" i="9"/>
  <c r="M181" i="9"/>
  <c r="M180" i="9"/>
  <c r="M178" i="9"/>
  <c r="M14" i="9"/>
  <c r="M12" i="9"/>
  <c r="M8" i="9"/>
  <c r="M11" i="9"/>
  <c r="M10" i="9"/>
  <c r="M9" i="9"/>
  <c r="M57" i="9"/>
  <c r="M53" i="9"/>
  <c r="M51" i="9"/>
  <c r="M54" i="9"/>
  <c r="M55" i="9"/>
  <c r="M52" i="9"/>
  <c r="O57" i="9"/>
  <c r="O55" i="9"/>
  <c r="O51" i="9"/>
  <c r="O52" i="9"/>
  <c r="O53" i="9"/>
  <c r="O54" i="9"/>
  <c r="D138" i="9"/>
  <c r="F177" i="9"/>
  <c r="D180" i="9"/>
  <c r="D159" i="9"/>
  <c r="D117" i="9"/>
  <c r="F93" i="9"/>
  <c r="F74" i="9"/>
  <c r="F72" i="9"/>
  <c r="Q42" i="9"/>
  <c r="L148" i="9"/>
  <c r="Q148" i="9" s="1"/>
  <c r="P21" i="9"/>
  <c r="Q57" i="9"/>
  <c r="P57" i="9"/>
  <c r="Q64" i="9"/>
  <c r="P64" i="9"/>
  <c r="Q127" i="9"/>
  <c r="P127" i="9"/>
  <c r="Q169" i="9"/>
  <c r="P169" i="9"/>
  <c r="P106" i="9"/>
  <c r="Q106" i="9"/>
  <c r="Q196" i="9"/>
  <c r="P196" i="9"/>
  <c r="Q22" i="9"/>
  <c r="P22" i="9"/>
  <c r="P85" i="9"/>
  <c r="Q85" i="9"/>
  <c r="Q11" i="9"/>
  <c r="Q53" i="9"/>
  <c r="Q139" i="9"/>
  <c r="Q180" i="9"/>
  <c r="P10" i="9"/>
  <c r="Q32" i="9"/>
  <c r="P52" i="9"/>
  <c r="Q73" i="9"/>
  <c r="P93" i="9"/>
  <c r="P97" i="9"/>
  <c r="Q114" i="9"/>
  <c r="Q118" i="9"/>
  <c r="P179" i="9"/>
  <c r="P183" i="9"/>
  <c r="Q94" i="9"/>
  <c r="Q135" i="9"/>
  <c r="Q10" i="9"/>
  <c r="Q52" i="9"/>
  <c r="P72" i="9"/>
  <c r="Q93" i="9"/>
  <c r="Q178" i="9"/>
  <c r="P84" i="9"/>
  <c r="P116" i="9"/>
  <c r="P8" i="9"/>
  <c r="P12" i="9"/>
  <c r="Q30" i="9"/>
  <c r="Q34" i="9"/>
  <c r="P54" i="9"/>
  <c r="P63" i="9"/>
  <c r="Q75" i="9"/>
  <c r="Q84" i="9"/>
  <c r="P95" i="9"/>
  <c r="Q8" i="9"/>
  <c r="P33" i="9"/>
  <c r="P42" i="9"/>
  <c r="Q63" i="9"/>
  <c r="P156" i="9"/>
  <c r="F114" i="9"/>
  <c r="F138" i="9"/>
  <c r="F141" i="9"/>
  <c r="F30" i="9"/>
  <c r="D95" i="9"/>
  <c r="H99" i="9"/>
  <c r="D96" i="9"/>
  <c r="G99" i="9"/>
  <c r="D99" i="9"/>
  <c r="F139" i="9"/>
  <c r="D179" i="9"/>
  <c r="H183" i="9"/>
  <c r="G183" i="9"/>
  <c r="D183" i="9"/>
  <c r="F117" i="9"/>
  <c r="F120" i="9"/>
  <c r="H196" i="9"/>
  <c r="G196" i="9"/>
  <c r="F36" i="9"/>
  <c r="F31" i="9"/>
  <c r="F34" i="9"/>
  <c r="F118" i="9"/>
  <c r="D158" i="9"/>
  <c r="D162" i="9"/>
  <c r="H64" i="9"/>
  <c r="G64" i="9"/>
  <c r="F96" i="9"/>
  <c r="F97" i="9"/>
  <c r="F99" i="9"/>
  <c r="H148" i="9"/>
  <c r="G148" i="9"/>
  <c r="F181" i="9"/>
  <c r="F32" i="9"/>
  <c r="H85" i="9"/>
  <c r="D137" i="9"/>
  <c r="H141" i="9"/>
  <c r="G141" i="9"/>
  <c r="D141" i="9"/>
  <c r="H169" i="9"/>
  <c r="F116" i="9"/>
  <c r="F180" i="9"/>
  <c r="F183" i="9"/>
  <c r="F95" i="9"/>
  <c r="H127" i="9"/>
  <c r="G127" i="9"/>
  <c r="F135" i="9"/>
  <c r="F179" i="9"/>
  <c r="F75" i="9"/>
  <c r="F78" i="9"/>
  <c r="F33" i="9"/>
  <c r="F76" i="9"/>
  <c r="D116" i="9"/>
  <c r="H120" i="9"/>
  <c r="G120" i="9"/>
  <c r="D120" i="9"/>
  <c r="D55" i="9"/>
  <c r="G10" i="9"/>
  <c r="E14" i="9"/>
  <c r="E205" i="9" s="1"/>
  <c r="G32" i="9"/>
  <c r="H42" i="9"/>
  <c r="H63" i="9"/>
  <c r="H84" i="9"/>
  <c r="D94" i="9"/>
  <c r="D115" i="9"/>
  <c r="D136" i="9"/>
  <c r="D157" i="9"/>
  <c r="D178" i="9"/>
  <c r="H32" i="9"/>
  <c r="G9" i="9"/>
  <c r="G31" i="9"/>
  <c r="F73" i="9"/>
  <c r="D93" i="9"/>
  <c r="F94" i="9"/>
  <c r="D97" i="9"/>
  <c r="D114" i="9"/>
  <c r="F115" i="9"/>
  <c r="D118" i="9"/>
  <c r="D135" i="9"/>
  <c r="F136" i="9"/>
  <c r="D139" i="9"/>
  <c r="D156" i="9"/>
  <c r="D160" i="9"/>
  <c r="D177" i="9"/>
  <c r="F178" i="9"/>
  <c r="D181" i="9"/>
  <c r="E195" i="9"/>
  <c r="E199" i="9"/>
  <c r="C14" i="9"/>
  <c r="H9" i="9"/>
  <c r="H31" i="9"/>
  <c r="G52" i="9"/>
  <c r="G73" i="9"/>
  <c r="G85" i="9"/>
  <c r="G94" i="9"/>
  <c r="G106" i="9"/>
  <c r="G115" i="9"/>
  <c r="G136" i="9"/>
  <c r="G157" i="9"/>
  <c r="G169" i="9"/>
  <c r="G178" i="9"/>
  <c r="H10" i="9"/>
  <c r="G12" i="9"/>
  <c r="G30" i="9"/>
  <c r="G34" i="9"/>
  <c r="E198" i="9"/>
  <c r="G8" i="9"/>
  <c r="G51" i="9"/>
  <c r="G55" i="9"/>
  <c r="G72" i="9"/>
  <c r="G76" i="9"/>
  <c r="G93" i="9"/>
  <c r="G97" i="9"/>
  <c r="G114" i="9"/>
  <c r="G118" i="9"/>
  <c r="G135" i="9"/>
  <c r="G139" i="9"/>
  <c r="G156" i="9"/>
  <c r="G160" i="9"/>
  <c r="G177" i="9"/>
  <c r="G181" i="9"/>
  <c r="H93" i="9"/>
  <c r="H114" i="9"/>
  <c r="H135" i="9"/>
  <c r="H156" i="9"/>
  <c r="H177" i="9"/>
  <c r="E197" i="9"/>
  <c r="I14" i="9" l="1"/>
  <c r="C205" i="9"/>
  <c r="C206" i="9" s="1"/>
  <c r="N32" i="6"/>
  <c r="N30" i="6" s="1"/>
  <c r="J30" i="6"/>
  <c r="N26" i="6"/>
  <c r="H43" i="9"/>
  <c r="G22" i="9"/>
  <c r="P43" i="9"/>
  <c r="Q43" i="9"/>
  <c r="G43" i="9"/>
  <c r="P148" i="9"/>
  <c r="M36" i="9"/>
  <c r="M31" i="9"/>
  <c r="M32" i="9"/>
  <c r="M34" i="9"/>
  <c r="M30" i="9"/>
  <c r="M33" i="9"/>
  <c r="M78" i="9"/>
  <c r="M74" i="9"/>
  <c r="M73" i="9"/>
  <c r="M76" i="9"/>
  <c r="M72" i="9"/>
  <c r="M75" i="9"/>
  <c r="O141" i="9"/>
  <c r="O139" i="9"/>
  <c r="O135" i="9"/>
  <c r="O136" i="9"/>
  <c r="O137" i="9"/>
  <c r="O138" i="9"/>
  <c r="O162" i="9"/>
  <c r="O158" i="9"/>
  <c r="O156" i="9"/>
  <c r="O159" i="9"/>
  <c r="O157" i="9"/>
  <c r="O160" i="9"/>
  <c r="M162" i="9"/>
  <c r="M159" i="9"/>
  <c r="M156" i="9"/>
  <c r="M158" i="9"/>
  <c r="M157" i="9"/>
  <c r="M160" i="9"/>
  <c r="M120" i="9"/>
  <c r="M114" i="9"/>
  <c r="M116" i="9"/>
  <c r="M117" i="9"/>
  <c r="M115" i="9"/>
  <c r="M118" i="9"/>
  <c r="M141" i="9"/>
  <c r="M136" i="9"/>
  <c r="M137" i="9"/>
  <c r="M138" i="9"/>
  <c r="M135" i="9"/>
  <c r="M139" i="9"/>
  <c r="O14" i="9"/>
  <c r="O12" i="9"/>
  <c r="O8" i="9"/>
  <c r="O11" i="9"/>
  <c r="O10" i="9"/>
  <c r="O9" i="9"/>
  <c r="O183" i="9"/>
  <c r="O178" i="9"/>
  <c r="O179" i="9"/>
  <c r="O177" i="9"/>
  <c r="O181" i="9"/>
  <c r="O180" i="9"/>
  <c r="O120" i="9"/>
  <c r="O114" i="9"/>
  <c r="O115" i="9"/>
  <c r="O117" i="9"/>
  <c r="O116" i="9"/>
  <c r="O118" i="9"/>
  <c r="O36" i="9"/>
  <c r="O30" i="9"/>
  <c r="O31" i="9"/>
  <c r="O33" i="9"/>
  <c r="O34" i="9"/>
  <c r="O32" i="9"/>
  <c r="M99" i="9"/>
  <c r="M94" i="9"/>
  <c r="M97" i="9"/>
  <c r="M96" i="9"/>
  <c r="M93" i="9"/>
  <c r="M95" i="9"/>
  <c r="D51" i="9"/>
  <c r="G162" i="9"/>
  <c r="F156" i="9"/>
  <c r="H162" i="9"/>
  <c r="F158" i="9"/>
  <c r="F160" i="9"/>
  <c r="F157" i="9"/>
  <c r="D73" i="9"/>
  <c r="F53" i="9"/>
  <c r="D31" i="9"/>
  <c r="D9" i="9"/>
  <c r="D10" i="9"/>
  <c r="Q141" i="9"/>
  <c r="P141" i="9"/>
  <c r="Q78" i="9"/>
  <c r="P78" i="9"/>
  <c r="P99" i="9"/>
  <c r="Q99" i="9"/>
  <c r="Q198" i="9"/>
  <c r="P198" i="9"/>
  <c r="Q120" i="9"/>
  <c r="P120" i="9"/>
  <c r="L201" i="9"/>
  <c r="L202" i="9" s="1"/>
  <c r="Q195" i="9"/>
  <c r="P195" i="9"/>
  <c r="Q197" i="9"/>
  <c r="P197" i="9"/>
  <c r="N201" i="9"/>
  <c r="N202" i="9" s="1"/>
  <c r="Q199" i="9"/>
  <c r="P199" i="9"/>
  <c r="Q183" i="9"/>
  <c r="Q36" i="9"/>
  <c r="P36" i="9"/>
  <c r="Q162" i="9"/>
  <c r="P162" i="9"/>
  <c r="Q14" i="9"/>
  <c r="P14" i="9"/>
  <c r="H199" i="9"/>
  <c r="G199" i="9"/>
  <c r="D32" i="9"/>
  <c r="F55" i="9"/>
  <c r="H198" i="9"/>
  <c r="G198" i="9"/>
  <c r="D53" i="9"/>
  <c r="H57" i="9"/>
  <c r="D54" i="9"/>
  <c r="G57" i="9"/>
  <c r="D57" i="9"/>
  <c r="F54" i="9"/>
  <c r="F57" i="9"/>
  <c r="F14" i="9"/>
  <c r="F9" i="9"/>
  <c r="D74" i="9"/>
  <c r="H78" i="9"/>
  <c r="G78" i="9"/>
  <c r="D78" i="9"/>
  <c r="E201" i="9"/>
  <c r="D76" i="9"/>
  <c r="F10" i="9"/>
  <c r="D75" i="9"/>
  <c r="H197" i="9"/>
  <c r="G197" i="9"/>
  <c r="H195" i="9"/>
  <c r="G195" i="9"/>
  <c r="D52" i="9"/>
  <c r="F51" i="9"/>
  <c r="D36" i="9"/>
  <c r="D34" i="9"/>
  <c r="D30" i="9"/>
  <c r="H36" i="9"/>
  <c r="G36" i="9"/>
  <c r="F52" i="9"/>
  <c r="F11" i="9"/>
  <c r="D14" i="9"/>
  <c r="D12" i="9"/>
  <c r="H14" i="9"/>
  <c r="D8" i="9"/>
  <c r="G14" i="9"/>
  <c r="F12" i="9"/>
  <c r="D72" i="9"/>
  <c r="F159" i="9"/>
  <c r="F162" i="9"/>
  <c r="D11" i="9"/>
  <c r="D33" i="9"/>
  <c r="F8" i="9"/>
  <c r="E206" i="9" l="1"/>
  <c r="E202" i="9"/>
  <c r="I121" i="9"/>
  <c r="I37" i="9"/>
  <c r="I79" i="9"/>
  <c r="I58" i="9"/>
  <c r="I100" i="9"/>
  <c r="I163" i="9"/>
  <c r="I142" i="9"/>
  <c r="I15" i="9"/>
  <c r="M195" i="9"/>
  <c r="O198" i="9"/>
  <c r="F197" i="9"/>
  <c r="O195" i="9"/>
  <c r="M199" i="9"/>
  <c r="M197" i="9"/>
  <c r="M198" i="9"/>
  <c r="M201" i="9"/>
  <c r="M196" i="9"/>
  <c r="O201" i="9"/>
  <c r="O197" i="9"/>
  <c r="O196" i="9"/>
  <c r="O199" i="9"/>
  <c r="F199" i="9"/>
  <c r="F195" i="9"/>
  <c r="F198" i="9"/>
  <c r="D195" i="9"/>
  <c r="D197" i="9"/>
  <c r="Q201" i="9"/>
  <c r="P201" i="9"/>
  <c r="D201" i="9"/>
  <c r="H201" i="9"/>
  <c r="G201" i="9"/>
  <c r="D196" i="9"/>
  <c r="D199" i="9"/>
  <c r="F201" i="9"/>
  <c r="F196" i="9"/>
  <c r="D198" i="9"/>
  <c r="G72" i="7" l="1"/>
  <c r="F72" i="7"/>
  <c r="I72" i="7" l="1"/>
  <c r="F10" i="7"/>
  <c r="G10" i="7"/>
  <c r="F60" i="7" l="1"/>
  <c r="F49" i="7"/>
  <c r="F25" i="7"/>
  <c r="F12" i="7"/>
  <c r="F70" i="7"/>
  <c r="F58" i="7"/>
  <c r="F47" i="7"/>
  <c r="F23" i="7"/>
  <c r="G60" i="7" l="1"/>
  <c r="G49" i="7"/>
  <c r="G25" i="7"/>
  <c r="G12" i="7"/>
  <c r="G70" i="7"/>
  <c r="I70" i="7" s="1"/>
  <c r="G58" i="7"/>
  <c r="G47" i="7"/>
  <c r="G23" i="7"/>
  <c r="G67" i="7"/>
  <c r="G55" i="7"/>
  <c r="G44" i="7"/>
  <c r="G33" i="7"/>
  <c r="G20" i="7"/>
  <c r="G7" i="7"/>
  <c r="G11" i="7" l="1"/>
  <c r="G73" i="7"/>
  <c r="G71" i="7"/>
  <c r="G61" i="7"/>
  <c r="G59" i="7"/>
  <c r="G50" i="7"/>
  <c r="G48" i="7"/>
  <c r="G26" i="7"/>
  <c r="G24" i="7"/>
  <c r="G13" i="7"/>
  <c r="F15" i="15"/>
  <c r="D15" i="15"/>
  <c r="C15" i="15"/>
  <c r="I13" i="15"/>
  <c r="F13" i="15"/>
  <c r="C13" i="15"/>
  <c r="E9" i="15"/>
  <c r="H9" i="15"/>
  <c r="F9" i="15"/>
  <c r="D13" i="15"/>
  <c r="F67" i="7"/>
  <c r="F55" i="7"/>
  <c r="F20" i="7"/>
  <c r="F7" i="7"/>
  <c r="F73" i="7" l="1"/>
  <c r="F71" i="7"/>
  <c r="F26" i="7"/>
  <c r="F24" i="7"/>
  <c r="F11" i="7"/>
  <c r="F13" i="7"/>
  <c r="F59" i="7"/>
  <c r="F61" i="7"/>
  <c r="F9" i="14"/>
  <c r="F44" i="7"/>
  <c r="F15" i="14"/>
  <c r="F13" i="14"/>
  <c r="E9" i="14"/>
  <c r="F33" i="7"/>
  <c r="F10" i="15"/>
  <c r="G45" i="7"/>
  <c r="E10" i="15"/>
  <c r="G34" i="7"/>
  <c r="H10" i="15"/>
  <c r="G56" i="7"/>
  <c r="I15" i="15"/>
  <c r="D9" i="14"/>
  <c r="D13" i="14"/>
  <c r="D15" i="14"/>
  <c r="H9" i="14"/>
  <c r="H13" i="14"/>
  <c r="H15" i="14"/>
  <c r="I15" i="14"/>
  <c r="I13" i="14"/>
  <c r="C9" i="14"/>
  <c r="C13" i="14"/>
  <c r="C15" i="14"/>
  <c r="I9" i="14"/>
  <c r="O9" i="14" s="1"/>
  <c r="H13" i="15"/>
  <c r="C9" i="15"/>
  <c r="H15" i="15"/>
  <c r="D9" i="15"/>
  <c r="I9" i="15"/>
  <c r="H20" i="13"/>
  <c r="L20" i="13" s="1"/>
  <c r="H19" i="13"/>
  <c r="L19" i="13" s="1"/>
  <c r="L25" i="6"/>
  <c r="N25" i="6"/>
  <c r="M25" i="6"/>
  <c r="J25" i="6"/>
  <c r="L21" i="13" l="1"/>
  <c r="L25" i="13" s="1"/>
  <c r="G57" i="7"/>
  <c r="G68" i="7"/>
  <c r="D10" i="14"/>
  <c r="F21" i="7"/>
  <c r="I10" i="14"/>
  <c r="F68" i="7"/>
  <c r="H10" i="14"/>
  <c r="F56" i="7"/>
  <c r="G46" i="7"/>
  <c r="C10" i="14"/>
  <c r="F8" i="7"/>
  <c r="G35" i="7"/>
  <c r="F48" i="7"/>
  <c r="F50" i="7"/>
  <c r="F10" i="14"/>
  <c r="F45" i="7"/>
  <c r="D10" i="15"/>
  <c r="G21" i="7"/>
  <c r="C10" i="15"/>
  <c r="G8" i="7"/>
  <c r="E10" i="14"/>
  <c r="F34" i="7"/>
  <c r="I10" i="15"/>
  <c r="H21" i="13"/>
  <c r="L24" i="13" l="1"/>
  <c r="G69" i="7"/>
  <c r="F69" i="7"/>
  <c r="F22" i="7"/>
  <c r="F35" i="7"/>
  <c r="F9" i="7"/>
  <c r="F46" i="7"/>
  <c r="F57" i="7"/>
  <c r="G9" i="7"/>
  <c r="G22" i="7"/>
  <c r="E21" i="13"/>
  <c r="D21" i="13"/>
  <c r="F21" i="13" l="1"/>
  <c r="C21" i="13"/>
  <c r="C24" i="13" s="1"/>
  <c r="K25" i="6" l="1"/>
  <c r="I21" i="13"/>
  <c r="E75" i="12" l="1"/>
  <c r="F75" i="12"/>
  <c r="F64" i="12" l="1"/>
  <c r="F53" i="12"/>
  <c r="F5" i="12"/>
  <c r="F22" i="12" s="1"/>
  <c r="F32" i="12" s="1"/>
  <c r="F36" i="12" s="1"/>
  <c r="E64" i="12"/>
  <c r="E53" i="12"/>
  <c r="E5" i="12"/>
  <c r="E22" i="12" l="1"/>
  <c r="E32" i="12" s="1"/>
  <c r="E36" i="12" s="1"/>
  <c r="E66" i="12" s="1"/>
  <c r="E70" i="12" s="1"/>
  <c r="F66" i="12"/>
  <c r="F70" i="12" s="1"/>
  <c r="D75" i="12" l="1"/>
  <c r="H75" i="12"/>
  <c r="G75" i="12"/>
  <c r="C5" i="12"/>
  <c r="C22" i="12" s="1"/>
  <c r="C32" i="12" s="1"/>
  <c r="C36" i="12" s="1"/>
  <c r="D5" i="12"/>
  <c r="D22" i="12" s="1"/>
  <c r="D32" i="12" s="1"/>
  <c r="D36" i="12" s="1"/>
  <c r="G5" i="12"/>
  <c r="G22" i="12" s="1"/>
  <c r="G32" i="12" s="1"/>
  <c r="G36" i="12" s="1"/>
  <c r="H53" i="12"/>
  <c r="G53" i="12"/>
  <c r="H64" i="12"/>
  <c r="G64" i="12"/>
  <c r="C53" i="12"/>
  <c r="D53" i="12"/>
  <c r="D64" i="12"/>
  <c r="C64" i="12"/>
  <c r="H5" i="12"/>
  <c r="H22" i="12" s="1"/>
  <c r="H32" i="12" s="1"/>
  <c r="H36" i="12" s="1"/>
  <c r="H66" i="12" l="1"/>
  <c r="H70" i="12" s="1"/>
  <c r="G66" i="12"/>
  <c r="G70" i="12" s="1"/>
  <c r="D66" i="12"/>
  <c r="D70" i="12" s="1"/>
  <c r="C66" i="12"/>
  <c r="C70" i="12" s="1"/>
  <c r="C52" i="10"/>
  <c r="D52" i="10"/>
  <c r="E52" i="10"/>
  <c r="C44" i="10"/>
  <c r="D44" i="10"/>
  <c r="E44" i="10"/>
  <c r="C35" i="10"/>
  <c r="D35" i="10"/>
  <c r="E35" i="10"/>
  <c r="C21" i="10"/>
  <c r="D21" i="10"/>
  <c r="E21" i="10"/>
  <c r="C15" i="10"/>
  <c r="D15" i="10"/>
  <c r="E15" i="10"/>
  <c r="G38" i="11"/>
  <c r="G42" i="11"/>
  <c r="G34" i="11"/>
  <c r="E41" i="11"/>
  <c r="E42" i="11"/>
  <c r="E38" i="11"/>
  <c r="E34" i="11"/>
  <c r="E6" i="22" l="1"/>
  <c r="E10" i="11"/>
  <c r="E76" i="12"/>
  <c r="H44" i="10"/>
  <c r="H52" i="10"/>
  <c r="H35" i="10"/>
  <c r="F44" i="10"/>
  <c r="H21" i="10"/>
  <c r="F52" i="10"/>
  <c r="F15" i="10"/>
  <c r="F35" i="10"/>
  <c r="F21" i="10"/>
  <c r="H15" i="10"/>
  <c r="E54" i="10"/>
  <c r="E55" i="10" s="1"/>
  <c r="E23" i="10"/>
  <c r="D54" i="10"/>
  <c r="D55" i="10" s="1"/>
  <c r="D23" i="10"/>
  <c r="C54" i="10"/>
  <c r="C55" i="10" s="1"/>
  <c r="C23" i="10"/>
  <c r="G15" i="10"/>
  <c r="G21" i="10"/>
  <c r="G35" i="10"/>
  <c r="G44" i="10"/>
  <c r="G52" i="10"/>
  <c r="G41" i="11"/>
  <c r="G10" i="11"/>
  <c r="G16" i="11" s="1"/>
  <c r="F12" i="11"/>
  <c r="E3" i="22" l="1"/>
  <c r="E16" i="11"/>
  <c r="F54" i="10"/>
  <c r="F55" i="10" s="1"/>
  <c r="F23" i="10"/>
  <c r="G23" i="10"/>
  <c r="H54" i="10"/>
  <c r="H55" i="10" s="1"/>
  <c r="H23" i="10"/>
  <c r="G54" i="10"/>
  <c r="G55" i="10" s="1"/>
  <c r="E56" i="10"/>
  <c r="D56" i="10"/>
  <c r="C56" i="10"/>
  <c r="G21" i="11"/>
  <c r="G23" i="11" s="1"/>
  <c r="G28" i="11" s="1"/>
  <c r="H42" i="11"/>
  <c r="H41" i="11"/>
  <c r="G74" i="12"/>
  <c r="G76" i="12" s="1"/>
  <c r="C42" i="11"/>
  <c r="F27" i="11"/>
  <c r="C74" i="12"/>
  <c r="C76" i="12" s="1"/>
  <c r="D76" i="12"/>
  <c r="F22" i="11"/>
  <c r="E4" i="22" l="1"/>
  <c r="E21" i="11"/>
  <c r="E23" i="11" s="1"/>
  <c r="G56" i="10"/>
  <c r="F56" i="10"/>
  <c r="F9" i="11"/>
  <c r="H56" i="10"/>
  <c r="F8" i="11"/>
  <c r="F20" i="11"/>
  <c r="F15" i="11"/>
  <c r="F13" i="11"/>
  <c r="F37" i="11"/>
  <c r="F19" i="11"/>
  <c r="F11" i="11"/>
  <c r="F26" i="11"/>
  <c r="F14" i="11"/>
  <c r="D41" i="11"/>
  <c r="F32" i="11"/>
  <c r="D42" i="11"/>
  <c r="F33" i="11"/>
  <c r="D38" i="11"/>
  <c r="F36" i="11"/>
  <c r="H10" i="11"/>
  <c r="H38" i="11"/>
  <c r="C34" i="11"/>
  <c r="H34" i="11"/>
  <c r="D10" i="11"/>
  <c r="C10" i="11"/>
  <c r="C38" i="11"/>
  <c r="D34" i="11"/>
  <c r="D6" i="22" s="1"/>
  <c r="C41" i="11"/>
  <c r="F76" i="12" l="1"/>
  <c r="G3" i="22"/>
  <c r="F42" i="11"/>
  <c r="G6" i="22"/>
  <c r="C6" i="22"/>
  <c r="D16" i="11"/>
  <c r="D3" i="22"/>
  <c r="C16" i="11"/>
  <c r="C4" i="22" s="1"/>
  <c r="C3" i="22"/>
  <c r="H16" i="11"/>
  <c r="E28" i="11"/>
  <c r="F10" i="11"/>
  <c r="F38" i="11"/>
  <c r="F34" i="11"/>
  <c r="F41" i="11"/>
  <c r="F6" i="22" l="1"/>
  <c r="G4" i="22"/>
  <c r="C21" i="11"/>
  <c r="C23" i="11" s="1"/>
  <c r="F16" i="11"/>
  <c r="F3" i="22"/>
  <c r="D21" i="11"/>
  <c r="D23" i="11" s="1"/>
  <c r="D4" i="22"/>
  <c r="H21" i="11"/>
  <c r="F21" i="11" l="1"/>
  <c r="F4" i="22"/>
  <c r="H23" i="11"/>
  <c r="C28" i="11"/>
  <c r="D28" i="11"/>
  <c r="F23" i="11" l="1"/>
  <c r="H28" i="11"/>
  <c r="I41" i="11"/>
  <c r="F28" i="11" l="1"/>
  <c r="I42" i="11"/>
  <c r="H76" i="12"/>
  <c r="I34" i="11"/>
  <c r="H6" i="22" l="1"/>
  <c r="I10" i="11"/>
  <c r="I38" i="11"/>
  <c r="H3" i="22" l="1"/>
  <c r="I16" i="11"/>
  <c r="H4" i="22" l="1"/>
  <c r="I21" i="11"/>
  <c r="I23" i="11" l="1"/>
  <c r="I28" i="11" l="1"/>
  <c r="G27" i="6" l="1"/>
  <c r="G26" i="6"/>
  <c r="F25" i="6"/>
  <c r="E25" i="6"/>
  <c r="D25" i="6"/>
  <c r="C25" i="6"/>
  <c r="G22" i="6"/>
  <c r="G21" i="6"/>
  <c r="F20" i="6"/>
  <c r="E20" i="6"/>
  <c r="D20" i="6"/>
  <c r="C20" i="6"/>
  <c r="G17" i="6"/>
  <c r="G16" i="6"/>
  <c r="F15" i="6"/>
  <c r="E15" i="6"/>
  <c r="D15" i="6"/>
  <c r="C15" i="6"/>
  <c r="G12" i="6"/>
  <c r="G11" i="6"/>
  <c r="F10" i="6"/>
  <c r="E10" i="6"/>
  <c r="D10" i="6"/>
  <c r="C10" i="6"/>
  <c r="G7" i="6"/>
  <c r="G6" i="6"/>
  <c r="F5" i="6"/>
  <c r="E5" i="6"/>
  <c r="D5" i="6"/>
  <c r="C5" i="6"/>
  <c r="G20" i="6" l="1"/>
  <c r="G10" i="6"/>
  <c r="G25" i="6"/>
  <c r="G5" i="6"/>
  <c r="G15" i="6"/>
  <c r="F24" i="13" l="1"/>
  <c r="C44" i="7"/>
  <c r="F25" i="13"/>
  <c r="J44" i="7" l="1"/>
  <c r="I44" i="7"/>
  <c r="C45" i="7" l="1"/>
  <c r="J45" i="7" l="1"/>
  <c r="I45" i="7"/>
  <c r="I46" i="7" s="1"/>
  <c r="C46" i="7"/>
  <c r="J46" i="7" s="1"/>
  <c r="C47" i="7"/>
  <c r="I47" i="7" s="1"/>
  <c r="I48" i="7" s="1"/>
  <c r="C48" i="7" l="1"/>
  <c r="C49" i="7"/>
  <c r="I49" i="7" s="1"/>
  <c r="I50" i="7" s="1"/>
  <c r="C50" i="7" l="1"/>
  <c r="C12" i="7" l="1"/>
  <c r="I12" i="7" s="1"/>
  <c r="H24" i="13" l="1"/>
  <c r="C55" i="7"/>
  <c r="C7" i="7"/>
  <c r="J7" i="7" l="1"/>
  <c r="I7" i="7"/>
  <c r="I13" i="7" s="1"/>
  <c r="J55" i="7"/>
  <c r="I55" i="7"/>
  <c r="C13" i="7"/>
  <c r="C25" i="13"/>
  <c r="C10" i="13" l="1"/>
  <c r="C11" i="13" l="1"/>
  <c r="C8" i="7"/>
  <c r="C10" i="7"/>
  <c r="I10" i="7" s="1"/>
  <c r="J8" i="7" l="1"/>
  <c r="I8" i="7"/>
  <c r="I9" i="7" s="1"/>
  <c r="C11" i="7"/>
  <c r="I11" i="7"/>
  <c r="C9" i="7"/>
  <c r="J9" i="7" s="1"/>
  <c r="H25" i="13"/>
  <c r="C58" i="7" l="1"/>
  <c r="I58" i="7" s="1"/>
  <c r="I59" i="7" s="1"/>
  <c r="H10" i="13"/>
  <c r="C59" i="7" l="1"/>
  <c r="H11" i="13"/>
  <c r="C56" i="7"/>
  <c r="C60" i="7"/>
  <c r="I60" i="7" s="1"/>
  <c r="I61" i="7" s="1"/>
  <c r="D25" i="13"/>
  <c r="J56" i="7" l="1"/>
  <c r="I56" i="7"/>
  <c r="I57" i="7" s="1"/>
  <c r="C61" i="7"/>
  <c r="C57" i="7"/>
  <c r="J57" i="7" s="1"/>
  <c r="D24" i="13"/>
  <c r="C20" i="7"/>
  <c r="D10" i="13"/>
  <c r="J20" i="7" l="1"/>
  <c r="I20" i="7"/>
  <c r="C25" i="7"/>
  <c r="I25" i="7" s="1"/>
  <c r="D11" i="13"/>
  <c r="C21" i="7"/>
  <c r="I26" i="7" l="1"/>
  <c r="J21" i="7"/>
  <c r="I21" i="7"/>
  <c r="I22" i="7" s="1"/>
  <c r="C22" i="7"/>
  <c r="J22" i="7" s="1"/>
  <c r="C26" i="7"/>
  <c r="C23" i="7"/>
  <c r="I23" i="7" s="1"/>
  <c r="I24" i="7" s="1"/>
  <c r="I24" i="13" l="1"/>
  <c r="C67" i="7"/>
  <c r="C24" i="7"/>
  <c r="I25" i="13"/>
  <c r="J67" i="7" l="1"/>
  <c r="I67" i="7"/>
  <c r="C71" i="7"/>
  <c r="C73" i="7"/>
  <c r="I10" i="13"/>
  <c r="I73" i="7" l="1"/>
  <c r="I71" i="7"/>
  <c r="C68" i="7"/>
  <c r="I11" i="13"/>
  <c r="J68" i="7" l="1"/>
  <c r="I68" i="7"/>
  <c r="I69" i="7" s="1"/>
  <c r="C69" i="7"/>
  <c r="J69" i="7" s="1"/>
  <c r="F80" i="9" l="1"/>
  <c r="F143" i="9"/>
  <c r="F122" i="9"/>
  <c r="H59" i="9"/>
  <c r="F59" i="9"/>
  <c r="F164" i="9"/>
  <c r="F16" i="9" l="1"/>
  <c r="H122" i="9"/>
  <c r="G122" i="9"/>
  <c r="D122" i="9"/>
  <c r="O16" i="9"/>
  <c r="H16" i="9"/>
  <c r="G16" i="9"/>
  <c r="D16" i="9"/>
  <c r="H80" i="9"/>
  <c r="G80" i="9"/>
  <c r="D80" i="9"/>
  <c r="G59" i="9"/>
  <c r="D59" i="9"/>
  <c r="D38" i="9"/>
  <c r="H143" i="9"/>
  <c r="D143" i="9"/>
  <c r="G143" i="9"/>
  <c r="H164" i="9"/>
  <c r="G164" i="9"/>
  <c r="D164" i="9"/>
  <c r="E186" i="9"/>
  <c r="F38" i="9"/>
  <c r="N186" i="9"/>
  <c r="O101" i="9"/>
  <c r="O59" i="9"/>
  <c r="O143" i="9"/>
  <c r="F101" i="9"/>
  <c r="O122" i="9"/>
  <c r="O80" i="9"/>
  <c r="O38" i="9"/>
  <c r="O164" i="9"/>
  <c r="C203" i="9" l="1"/>
  <c r="C204" i="9" s="1"/>
  <c r="Q59" i="9"/>
  <c r="P59" i="9"/>
  <c r="M59" i="9"/>
  <c r="G185" i="9"/>
  <c r="C186" i="9"/>
  <c r="H185" i="9"/>
  <c r="G38" i="9"/>
  <c r="N203" i="9"/>
  <c r="N204" i="9" s="1"/>
  <c r="P38" i="9"/>
  <c r="Q38" i="9"/>
  <c r="M38" i="9"/>
  <c r="E203" i="9"/>
  <c r="E204" i="9" s="1"/>
  <c r="P80" i="9"/>
  <c r="Q80" i="9"/>
  <c r="M80" i="9"/>
  <c r="H101" i="9"/>
  <c r="D101" i="9"/>
  <c r="G101" i="9"/>
  <c r="H38" i="9"/>
  <c r="Q164" i="9"/>
  <c r="P164" i="9"/>
  <c r="M164" i="9"/>
  <c r="L186" i="9"/>
  <c r="Q185" i="9"/>
  <c r="P185" i="9"/>
  <c r="P101" i="9"/>
  <c r="Q101" i="9"/>
  <c r="M101" i="9"/>
  <c r="Q143" i="9"/>
  <c r="P143" i="9"/>
  <c r="M143" i="9"/>
  <c r="L203" i="9"/>
  <c r="L204" i="9" s="1"/>
  <c r="Q16" i="9"/>
  <c r="P16" i="9"/>
  <c r="M16" i="9"/>
  <c r="Q122" i="9"/>
  <c r="P122" i="9"/>
  <c r="M122" i="9"/>
  <c r="G203" i="9" l="1"/>
  <c r="H203" i="9"/>
  <c r="P203" i="9"/>
  <c r="Q203" i="9"/>
  <c r="G79" i="7" l="1"/>
  <c r="F79" i="7"/>
  <c r="J24" i="13" l="1"/>
  <c r="C79" i="7"/>
  <c r="J19" i="24"/>
  <c r="J9" i="14"/>
  <c r="J9" i="15"/>
  <c r="H81" i="7"/>
  <c r="J79" i="7" l="1"/>
  <c r="I79" i="7"/>
  <c r="J10" i="14"/>
  <c r="F80" i="7"/>
  <c r="F81" i="7" s="1"/>
  <c r="G80" i="7"/>
  <c r="J10" i="15"/>
  <c r="H83" i="7"/>
  <c r="G81" i="7" l="1"/>
  <c r="H85" i="7"/>
  <c r="J13" i="14" l="1"/>
  <c r="F82" i="7"/>
  <c r="F83" i="7" l="1"/>
  <c r="J15" i="14"/>
  <c r="F84" i="7"/>
  <c r="F85" i="7" l="1"/>
  <c r="J25" i="13" l="1"/>
  <c r="J10" i="13"/>
  <c r="J20" i="24"/>
  <c r="J10" i="24"/>
  <c r="D80" i="7" l="1"/>
  <c r="D81" i="7" s="1"/>
  <c r="J21" i="24"/>
  <c r="J11" i="24"/>
  <c r="G82" i="7"/>
  <c r="J13" i="15"/>
  <c r="C80" i="7"/>
  <c r="J11" i="13"/>
  <c r="J80" i="7" l="1"/>
  <c r="I80" i="7"/>
  <c r="G83" i="7"/>
  <c r="C82" i="7"/>
  <c r="I82" i="7" s="1"/>
  <c r="C81" i="7"/>
  <c r="J81" i="7" s="1"/>
  <c r="G84" i="7"/>
  <c r="J15" i="15"/>
  <c r="I83" i="7" l="1"/>
  <c r="I81" i="7"/>
  <c r="G85" i="7"/>
  <c r="C83" i="7"/>
  <c r="C84" i="7" l="1"/>
  <c r="I84" i="7" s="1"/>
  <c r="I85" i="7" l="1"/>
  <c r="C85" i="7"/>
  <c r="E20" i="24" l="1"/>
  <c r="E25" i="13"/>
  <c r="G36" i="7" l="1"/>
  <c r="E13" i="15"/>
  <c r="G37" i="7" l="1"/>
  <c r="G38" i="7"/>
  <c r="E15" i="15"/>
  <c r="G39" i="7" l="1"/>
  <c r="F36" i="7" l="1"/>
  <c r="E13" i="14"/>
  <c r="F37" i="7" l="1"/>
  <c r="F38" i="7"/>
  <c r="E15" i="14"/>
  <c r="F39" i="7" l="1"/>
  <c r="E10" i="13" l="1"/>
  <c r="E24" i="13"/>
  <c r="C33" i="7"/>
  <c r="E19" i="24"/>
  <c r="J33" i="7" l="1"/>
  <c r="I33" i="7"/>
  <c r="E11" i="13"/>
  <c r="C34" i="7"/>
  <c r="J34" i="7" l="1"/>
  <c r="I34" i="7"/>
  <c r="I35" i="7" s="1"/>
  <c r="C35" i="7"/>
  <c r="J35" i="7" s="1"/>
  <c r="C36" i="7"/>
  <c r="I36" i="7" s="1"/>
  <c r="I37" i="7" s="1"/>
  <c r="C37" i="7" l="1"/>
  <c r="C38" i="7" l="1"/>
  <c r="I38" i="7" s="1"/>
  <c r="I39" i="7" s="1"/>
  <c r="C39" i="7" l="1"/>
</calcChain>
</file>

<file path=xl/sharedStrings.xml><?xml version="1.0" encoding="utf-8"?>
<sst xmlns="http://schemas.openxmlformats.org/spreadsheetml/2006/main" count="1039" uniqueCount="316">
  <si>
    <t>Choose Currency:</t>
  </si>
  <si>
    <t>Investor Relations Contacts</t>
  </si>
  <si>
    <t>Nicolas Sibuet</t>
  </si>
  <si>
    <t>Chief Financial Officer</t>
  </si>
  <si>
    <t>InvestorRelations@aramex.com</t>
  </si>
  <si>
    <t>Anca Cighi</t>
  </si>
  <si>
    <t>Investor Relations Officer</t>
  </si>
  <si>
    <t>anca@aramex.com</t>
  </si>
  <si>
    <t>Aramex Data Book Contents</t>
  </si>
  <si>
    <t>Income Statement</t>
  </si>
  <si>
    <t>Balance Sheet</t>
  </si>
  <si>
    <t xml:space="preserve">Cashflow and Capex </t>
  </si>
  <si>
    <t xml:space="preserve">Aramex Courier Product </t>
  </si>
  <si>
    <t>Aramex Freight Product</t>
  </si>
  <si>
    <t>Aramex Logistics Product</t>
  </si>
  <si>
    <t>Regional Breakdown</t>
  </si>
  <si>
    <t>Historic Product Breakdown Key Financials</t>
  </si>
  <si>
    <t xml:space="preserve">Historic Express Volume Data </t>
  </si>
  <si>
    <t xml:space="preserve">Income statement </t>
  </si>
  <si>
    <t>Growth</t>
  </si>
  <si>
    <t>Q1 2021</t>
  </si>
  <si>
    <t>Q2 2021</t>
  </si>
  <si>
    <t>Q3 2021</t>
  </si>
  <si>
    <t>Q4 2021</t>
  </si>
  <si>
    <t>2021</t>
  </si>
  <si>
    <t>Q1 2022</t>
  </si>
  <si>
    <t>Q2 2022</t>
  </si>
  <si>
    <t>%</t>
  </si>
  <si>
    <t xml:space="preserve">Continuing operations </t>
  </si>
  <si>
    <t xml:space="preserve"> Rendering of services </t>
  </si>
  <si>
    <t xml:space="preserve"> Cost of services </t>
  </si>
  <si>
    <t>Gross Profit</t>
  </si>
  <si>
    <t xml:space="preserve"> Selling and marketing expenses</t>
  </si>
  <si>
    <t xml:space="preserve"> Net impairment loss on accounts receivable </t>
  </si>
  <si>
    <t xml:space="preserve"> Administrative expenses </t>
  </si>
  <si>
    <t xml:space="preserve"> Net Gain/(loss) on property damages and customer goods </t>
  </si>
  <si>
    <t xml:space="preserve"> Other income/-net</t>
  </si>
  <si>
    <t xml:space="preserve">Operating profit </t>
  </si>
  <si>
    <t xml:space="preserve"> Finance income</t>
  </si>
  <si>
    <t xml:space="preserve"> Finance expense</t>
  </si>
  <si>
    <t xml:space="preserve"> Share of results of joint ventures and associates </t>
  </si>
  <si>
    <t>Profit before tax from continuing operations</t>
  </si>
  <si>
    <t xml:space="preserve"> Income Tax</t>
  </si>
  <si>
    <t>Profit for the year from Continuing Operations</t>
  </si>
  <si>
    <t>Discontinued Operations</t>
  </si>
  <si>
    <t xml:space="preserve"> Profit after tax for the year from discontinued operations</t>
  </si>
  <si>
    <t xml:space="preserve"> Gain on sale of subsidiary </t>
  </si>
  <si>
    <t>Profit for the period</t>
  </si>
  <si>
    <t>Attributable to:</t>
  </si>
  <si>
    <t xml:space="preserve"> Equity holders of the parent </t>
  </si>
  <si>
    <t xml:space="preserve"> Profit for the year from continuing operations</t>
  </si>
  <si>
    <t xml:space="preserve"> Profit for the year  from discontinuing operations</t>
  </si>
  <si>
    <t xml:space="preserve">Non -controlling interest </t>
  </si>
  <si>
    <t xml:space="preserve"> Profit of the year from continuing operations</t>
  </si>
  <si>
    <t xml:space="preserve"> Profit of the year from discontinuing operations</t>
  </si>
  <si>
    <t>Earnings per share attributable to the equity holders of the parent:</t>
  </si>
  <si>
    <t xml:space="preserve"> Basic and diluted earnings per share from continuing operation </t>
  </si>
  <si>
    <t xml:space="preserve"> Basic and diluted earnings per share from discontinuing operation </t>
  </si>
  <si>
    <t>Dividends</t>
  </si>
  <si>
    <t xml:space="preserve">Dividends % of capital </t>
  </si>
  <si>
    <t xml:space="preserve">Dividends payout ratio </t>
  </si>
  <si>
    <t>Dividend per share (AED)</t>
  </si>
  <si>
    <t xml:space="preserve">Balance sheet </t>
  </si>
  <si>
    <t>Assets</t>
  </si>
  <si>
    <t>Q1'21</t>
  </si>
  <si>
    <t>Q2'21</t>
  </si>
  <si>
    <t>Q3'21</t>
  </si>
  <si>
    <t>Q4'21</t>
  </si>
  <si>
    <t>Q1'22</t>
  </si>
  <si>
    <t>Q2'22</t>
  </si>
  <si>
    <t xml:space="preserve"> Non-current assets </t>
  </si>
  <si>
    <t xml:space="preserve">  Property and equipment </t>
  </si>
  <si>
    <t xml:space="preserve">  Right of use assets </t>
  </si>
  <si>
    <t xml:space="preserve">  Goodwill </t>
  </si>
  <si>
    <t xml:space="preserve">  Other intangible assets </t>
  </si>
  <si>
    <t xml:space="preserve">  Investment in joint ventures and associates </t>
  </si>
  <si>
    <t xml:space="preserve">  Financial assets at fair value through  other comprehensive income </t>
  </si>
  <si>
    <t xml:space="preserve">  Deferred tax assets </t>
  </si>
  <si>
    <t xml:space="preserve">  Other non- current assets </t>
  </si>
  <si>
    <t xml:space="preserve"> Current assets </t>
  </si>
  <si>
    <t xml:space="preserve">  Account receivable , net </t>
  </si>
  <si>
    <t xml:space="preserve">  Other current assets </t>
  </si>
  <si>
    <t xml:space="preserve">  Restricted cash , margins and fixed deposits </t>
  </si>
  <si>
    <t xml:space="preserve">  Cash and cash equivalents </t>
  </si>
  <si>
    <t xml:space="preserve">Asset held for sale </t>
  </si>
  <si>
    <t xml:space="preserve">Total Assets </t>
  </si>
  <si>
    <t xml:space="preserve">Equity and liabilities </t>
  </si>
  <si>
    <t xml:space="preserve"> Share capital </t>
  </si>
  <si>
    <t xml:space="preserve"> Statutory reserve </t>
  </si>
  <si>
    <t xml:space="preserve"> Foreign currency translation reserve </t>
  </si>
  <si>
    <t xml:space="preserve"> Reserve arising from acquisition of non -controlling interest </t>
  </si>
  <si>
    <t xml:space="preserve"> Reserve arising from other comprehensive income items </t>
  </si>
  <si>
    <t xml:space="preserve"> Retained earnings </t>
  </si>
  <si>
    <t xml:space="preserve">Equity attributable to equity holders of the parent </t>
  </si>
  <si>
    <t xml:space="preserve"> Non-controlling interests </t>
  </si>
  <si>
    <t xml:space="preserve">Total Equity </t>
  </si>
  <si>
    <t xml:space="preserve">Liabilities </t>
  </si>
  <si>
    <t xml:space="preserve"> Non- current liabilities </t>
  </si>
  <si>
    <t xml:space="preserve">  Interset - bearing loans and borrowings </t>
  </si>
  <si>
    <t xml:space="preserve">  Lease liabilities </t>
  </si>
  <si>
    <t xml:space="preserve">  Employee's end of service benefits </t>
  </si>
  <si>
    <t xml:space="preserve">  Deferred tax liabitlities </t>
  </si>
  <si>
    <t xml:space="preserve">  Deferred income </t>
  </si>
  <si>
    <t xml:space="preserve">Current liabilities </t>
  </si>
  <si>
    <t xml:space="preserve">  Account payable </t>
  </si>
  <si>
    <t xml:space="preserve">  Bank overdrafts </t>
  </si>
  <si>
    <t xml:space="preserve">  Interest bearing loans and borrowings </t>
  </si>
  <si>
    <t xml:space="preserve">  Income Tax provsion </t>
  </si>
  <si>
    <t xml:space="preserve">  Other current liabilities </t>
  </si>
  <si>
    <t xml:space="preserve">Laibilities for sale </t>
  </si>
  <si>
    <t xml:space="preserve">Total liabilities </t>
  </si>
  <si>
    <t xml:space="preserve">Total Equity and liabilities </t>
  </si>
  <si>
    <t>OPERATING ACTIVITIES</t>
  </si>
  <si>
    <t>Profit before  tax from continuing operations</t>
  </si>
  <si>
    <t>Profit before  tax from discontinuing operations</t>
  </si>
  <si>
    <t>Profit before tax</t>
  </si>
  <si>
    <t>Adjustment for:</t>
  </si>
  <si>
    <t>Depreciation of property and equipment</t>
  </si>
  <si>
    <t>Depreciation of right of use assets</t>
  </si>
  <si>
    <t>Amortization of other intangible assets</t>
  </si>
  <si>
    <t xml:space="preserve"> Provision for employees’ end of service benefits</t>
  </si>
  <si>
    <t xml:space="preserve"> Net impairment loss on financial assets</t>
  </si>
  <si>
    <t xml:space="preserve"> Finance costs, net</t>
  </si>
  <si>
    <t xml:space="preserve"> Finance costs – lease liability</t>
  </si>
  <si>
    <t xml:space="preserve"> Share of results of joint ventures and associates</t>
  </si>
  <si>
    <t xml:space="preserve"> Impairment of goodwill</t>
  </si>
  <si>
    <t xml:space="preserve"> (Gain)/loss on sale of property and equipment</t>
  </si>
  <si>
    <t xml:space="preserve"> Gain on sale of a subsidiary</t>
  </si>
  <si>
    <t xml:space="preserve"> Gain on reversal of provision for property and customer goods</t>
  </si>
  <si>
    <t>Working capital adjustments:</t>
  </si>
  <si>
    <t xml:space="preserve"> Accounts receivable</t>
  </si>
  <si>
    <t xml:space="preserve"> Accounts payable</t>
  </si>
  <si>
    <t xml:space="preserve"> Other current assets</t>
  </si>
  <si>
    <t xml:space="preserve"> Other current liabilities</t>
  </si>
  <si>
    <t xml:space="preserve"> Deferred income</t>
  </si>
  <si>
    <t>Net cash flows generated from operating activities before employees’ end of service benefits and income tax paid</t>
  </si>
  <si>
    <t>Employees’ end of service benefits paid</t>
  </si>
  <si>
    <t>Income tax paid</t>
  </si>
  <si>
    <t>Net cash flows generated from operating activities</t>
  </si>
  <si>
    <t>INVESTING ACTIVITIES</t>
  </si>
  <si>
    <t>Purchase of property and equipment</t>
  </si>
  <si>
    <t>Proceeds from disposal of property and equipment</t>
  </si>
  <si>
    <t xml:space="preserve">Financial assets at fair value through other comprehensive income </t>
  </si>
  <si>
    <t>Interest received</t>
  </si>
  <si>
    <t xml:space="preserve">Net cash disposed from discontinued operations </t>
  </si>
  <si>
    <t>Proceeds from sale of a subsidiary</t>
  </si>
  <si>
    <t xml:space="preserve">Purchase of intangible assets </t>
  </si>
  <si>
    <t>Dividends from joint ventures</t>
  </si>
  <si>
    <t>Acquisition of a group of assets</t>
  </si>
  <si>
    <t>Other non-current assets</t>
  </si>
  <si>
    <t>Restricted cash*</t>
  </si>
  <si>
    <t xml:space="preserve">Margin deposits and fixed deposits </t>
  </si>
  <si>
    <t>Loan granted to joint venture</t>
  </si>
  <si>
    <t>Net cash flows generated from/(used in) investing activities</t>
  </si>
  <si>
    <t>FINANCING ACTIVITIES</t>
  </si>
  <si>
    <t>Finance cost paid</t>
  </si>
  <si>
    <t>Proceeds from loans and borrowings</t>
  </si>
  <si>
    <t>Repayment of loans and borrowings</t>
  </si>
  <si>
    <t>Principal elements of lease payments</t>
  </si>
  <si>
    <t>Dividends paid to non-controlling interests</t>
  </si>
  <si>
    <t>Directors’ fees paid</t>
  </si>
  <si>
    <t>Dividends paid to shareholders</t>
  </si>
  <si>
    <t>Net cash flows used in financing activities</t>
  </si>
  <si>
    <t>NET (DECREASE)/INCREASE IN CASH AND CASH EQUIVALENTS</t>
  </si>
  <si>
    <t>Net foreign exchange difference</t>
  </si>
  <si>
    <t>Cash and cash equivalents at 1 January</t>
  </si>
  <si>
    <t>CASH AND CASH EQUIVALENTS AT 31 DECEMBER</t>
  </si>
  <si>
    <t>Mar YTD '21</t>
  </si>
  <si>
    <t>Jun YTD'21</t>
  </si>
  <si>
    <t>Sep YTD'21</t>
  </si>
  <si>
    <t>Dec YTD'21</t>
  </si>
  <si>
    <t>Mar YTD'22</t>
  </si>
  <si>
    <t>Jun YTD'22</t>
  </si>
  <si>
    <t>Revenue</t>
  </si>
  <si>
    <t>Capex</t>
  </si>
  <si>
    <t>Capex / Revenue</t>
  </si>
  <si>
    <t xml:space="preserve">Total Direct Cost </t>
  </si>
  <si>
    <t xml:space="preserve">Gross Profit </t>
  </si>
  <si>
    <t>GP%</t>
  </si>
  <si>
    <t>Selling and G&amp;A expenses</t>
  </si>
  <si>
    <t>EBIT</t>
  </si>
  <si>
    <t>EBIT%</t>
  </si>
  <si>
    <t>EBITDA</t>
  </si>
  <si>
    <t>EBITDA%</t>
  </si>
  <si>
    <t>Volumes</t>
  </si>
  <si>
    <t>DOM Express</t>
  </si>
  <si>
    <t>Int'l Express</t>
  </si>
  <si>
    <t>Total Courier Volumes</t>
  </si>
  <si>
    <t>Per shipment</t>
  </si>
  <si>
    <t>Average revenue per shipment Courier</t>
  </si>
  <si>
    <t>Average cost per shipment Courier</t>
  </si>
  <si>
    <t>MENAT</t>
  </si>
  <si>
    <t>Africa (East &amp; South)</t>
  </si>
  <si>
    <t>Europe</t>
  </si>
  <si>
    <t>America</t>
  </si>
  <si>
    <t>Oceania</t>
  </si>
  <si>
    <t>Others</t>
  </si>
  <si>
    <t>L/F # of FTL</t>
  </si>
  <si>
    <t>L/F # of LTL Kgs</t>
  </si>
  <si>
    <t>S/F # of FCL TEU</t>
  </si>
  <si>
    <t>S/F # of LCL CBM</t>
  </si>
  <si>
    <t>A/F # of Kgs</t>
  </si>
  <si>
    <t>All figures are in AED'(000)</t>
  </si>
  <si>
    <t>Actual</t>
  </si>
  <si>
    <t>VAR</t>
  </si>
  <si>
    <t>Express + SnS</t>
  </si>
  <si>
    <t>Domestic</t>
  </si>
  <si>
    <t xml:space="preserve">Freight Forwarding  </t>
  </si>
  <si>
    <t>Logistics</t>
  </si>
  <si>
    <t xml:space="preserve">Other </t>
  </si>
  <si>
    <t>Total Revenue</t>
  </si>
  <si>
    <t>Volumes are in abosulte figures- not rounded</t>
  </si>
  <si>
    <t>Gulf</t>
  </si>
  <si>
    <t>North Asia</t>
  </si>
  <si>
    <t>South Asia</t>
  </si>
  <si>
    <t>Total</t>
  </si>
  <si>
    <t xml:space="preserve">Total  Volumes </t>
  </si>
  <si>
    <t>Express +SnS</t>
  </si>
  <si>
    <t>Q1 2020</t>
  </si>
  <si>
    <t xml:space="preserve">Courier </t>
  </si>
  <si>
    <t xml:space="preserve">Freight </t>
  </si>
  <si>
    <t xml:space="preserve">Logistics </t>
  </si>
  <si>
    <t xml:space="preserve">Other Services </t>
  </si>
  <si>
    <t>Revenues</t>
  </si>
  <si>
    <t xml:space="preserve">EBIT </t>
  </si>
  <si>
    <t>Q2 2020</t>
  </si>
  <si>
    <t>Q3 2020</t>
  </si>
  <si>
    <t>Q4 2020</t>
  </si>
  <si>
    <t>1st Qrt'18</t>
  </si>
  <si>
    <t>2nd Qrt'18</t>
  </si>
  <si>
    <t>3rd Qrt'18</t>
  </si>
  <si>
    <t>4th Qrt'18</t>
  </si>
  <si>
    <t>Full year 2018</t>
  </si>
  <si>
    <t>Shipment Volumes (In Millions)</t>
  </si>
  <si>
    <t>Total Revenue International &amp; Domestic Express Revenue</t>
  </si>
  <si>
    <t>Total International &amp; Domestic Express Volume</t>
  </si>
  <si>
    <t>International Express+ SnS</t>
  </si>
  <si>
    <t>International Express</t>
  </si>
  <si>
    <t>Domestic Revenue</t>
  </si>
  <si>
    <t>Domestic Express</t>
  </si>
  <si>
    <t>1st Qrt'19</t>
  </si>
  <si>
    <t>2nd Qrt'19</t>
  </si>
  <si>
    <t>3rd Qrt'19</t>
  </si>
  <si>
    <t>4th Qrt'19</t>
  </si>
  <si>
    <t>Full year 2019</t>
  </si>
  <si>
    <t>1st Qrt'20</t>
  </si>
  <si>
    <t>2nd Qrt'20</t>
  </si>
  <si>
    <t>3rd Qrt'20</t>
  </si>
  <si>
    <t>4th Qrt'20</t>
  </si>
  <si>
    <t>Full year 2020</t>
  </si>
  <si>
    <t>1st Qrt'21</t>
  </si>
  <si>
    <t>2nd Qrt'21</t>
  </si>
  <si>
    <t>3rd Qrt'21</t>
  </si>
  <si>
    <t>4th Qrt'21</t>
  </si>
  <si>
    <t>Full year 2021</t>
  </si>
  <si>
    <t>1st Qrt'22</t>
  </si>
  <si>
    <t>2nd Qrt'22</t>
  </si>
  <si>
    <t>3rd Qrt'22</t>
  </si>
  <si>
    <t>4th Qrt'2</t>
  </si>
  <si>
    <t>Full year 2022</t>
  </si>
  <si>
    <t>Q3 2022</t>
  </si>
  <si>
    <t>Q3'22</t>
  </si>
  <si>
    <t>SepYTD'22</t>
  </si>
  <si>
    <t>Key Figures and Ratios</t>
  </si>
  <si>
    <t>Gross Profit Margin %</t>
  </si>
  <si>
    <t>EBIT %</t>
  </si>
  <si>
    <t>Net Profit Margin %</t>
  </si>
  <si>
    <t>Debt/Equity %</t>
  </si>
  <si>
    <t>Debt to Equity (Excluding IFRS 16)</t>
  </si>
  <si>
    <t>Express+SNS</t>
  </si>
  <si>
    <t>Total Int'l ExpressVolumes</t>
  </si>
  <si>
    <t>DecYTD'21</t>
  </si>
  <si>
    <t>Sep YTD'22</t>
  </si>
  <si>
    <t>Mar YTD'21</t>
  </si>
  <si>
    <t>Q4 2022</t>
  </si>
  <si>
    <t>Q4'22</t>
  </si>
  <si>
    <t>DecYTD'22</t>
  </si>
  <si>
    <t>4th Qrt'22</t>
  </si>
  <si>
    <t>Dec YTD'22</t>
  </si>
  <si>
    <t>2022</t>
  </si>
  <si>
    <t>Payment for Acquisition of Subsidery, Net of cash aquired</t>
  </si>
  <si>
    <t>Q1 2023</t>
  </si>
  <si>
    <t>Q1'23</t>
  </si>
  <si>
    <t>Gain on disposal of right of use assets and lease liabilities</t>
  </si>
  <si>
    <t xml:space="preserve">Other Non current Liabilities </t>
  </si>
  <si>
    <t>2023 Vs 2022</t>
  </si>
  <si>
    <t>Aramex Historic Express Revenues and Volumes 2018 - 2023</t>
  </si>
  <si>
    <t>1st Qrt'23</t>
  </si>
  <si>
    <t>2nd Qrt'23</t>
  </si>
  <si>
    <t>3rd Qrt'23</t>
  </si>
  <si>
    <t>4th Qrt'23</t>
  </si>
  <si>
    <t>Full year 2023</t>
  </si>
  <si>
    <t>Mar YTD'23</t>
  </si>
  <si>
    <t xml:space="preserve"> IR Data Book 2023</t>
  </si>
  <si>
    <t>USD</t>
  </si>
  <si>
    <t>All figures are in '(000)</t>
  </si>
  <si>
    <t>Q2 23 vs Q2 22</t>
  </si>
  <si>
    <t>Q2 2023</t>
  </si>
  <si>
    <t>Q2'23</t>
  </si>
  <si>
    <t xml:space="preserve">Q2'23 vs Q2'22 </t>
  </si>
  <si>
    <t>Jun YTD'23</t>
  </si>
  <si>
    <t>JunYTD 2023</t>
  </si>
  <si>
    <t>Jun YTD 2022</t>
  </si>
  <si>
    <t>Jun YTD'23 vs Jun YTD'22</t>
  </si>
  <si>
    <t>Aramex Historic Revenues by Product Segment 2020 - 2023</t>
  </si>
  <si>
    <t xml:space="preserve">Q2 2023 </t>
  </si>
  <si>
    <t>Jun YTD 2023</t>
  </si>
  <si>
    <t>Average revenue per shipment Express</t>
  </si>
  <si>
    <t>Average cost per shipment Express</t>
  </si>
  <si>
    <t>Average GP per shipment Express</t>
  </si>
  <si>
    <t xml:space="preserve">Average revenue per shipment Domestic </t>
  </si>
  <si>
    <t xml:space="preserve">Average cost per shipment Domestic </t>
  </si>
  <si>
    <t xml:space="preserve">Average GP per shipment Domestic </t>
  </si>
  <si>
    <t>Total Domestic Volumes</t>
  </si>
  <si>
    <t>Aramex Courier (Express International + Domestic Express)</t>
  </si>
  <si>
    <t>Express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</si>
</sst>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%;[Red]\(0%\)"/>
    <numFmt numFmtId="167" formatCode="0.0%_);[Red]\(0.0%\)"/>
    <numFmt numFmtId="168" formatCode="0.0"/>
    <numFmt numFmtId="169" formatCode="#,##0;\(#,##0\)"/>
    <numFmt numFmtId="170" formatCode="0%_);[Red]\(0%\)"/>
    <numFmt numFmtId="171" formatCode="0.0%"/>
    <numFmt numFmtId="172" formatCode="0.000"/>
    <numFmt numFmtId="174" formatCode="#,##0.0_);[Red]\(#,##0.0\)"/>
    <numFmt numFmtId="175" formatCode="_(* #,##0.000_);_(* \(#,##0.000\);_(* &quot;-&quot;??_);_(@_)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u/>
      <sz val="10"/>
      <color rgb="FFFFFFFF"/>
      <name val="Calibri"/>
      <family val="2"/>
      <scheme val="minor"/>
    </font>
    <font>
      <sz val="10"/>
      <color rgb="FFFFFFFF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1F497D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0000"/>
        <bgColor rgb="FF000000"/>
      </patternFill>
    </fill>
    <fill>
      <patternFill patternType="solid">
        <fgColor rgb="FFE600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0F0F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20">
    <xf numFmtId="0" fontId="0" fillId="0" borderId="0"/>
    <xf numFmtId="43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7" fillId="0" borderId="0" xfId="6" applyFont="1"/>
    <xf numFmtId="9" fontId="7" fillId="0" borderId="0" xfId="2" applyFont="1"/>
    <xf numFmtId="0" fontId="8" fillId="0" borderId="0" xfId="6" applyFont="1"/>
    <xf numFmtId="164" fontId="7" fillId="0" borderId="0" xfId="6" applyNumberFormat="1" applyFont="1"/>
    <xf numFmtId="164" fontId="10" fillId="2" borderId="3" xfId="7" applyNumberFormat="1" applyFont="1" applyFill="1" applyBorder="1" applyAlignment="1">
      <alignment horizontal="left" vertical="center"/>
    </xf>
    <xf numFmtId="164" fontId="10" fillId="2" borderId="4" xfId="7" applyNumberFormat="1" applyFont="1" applyFill="1" applyBorder="1" applyAlignment="1">
      <alignment horizontal="left" vertical="center"/>
    </xf>
    <xf numFmtId="164" fontId="10" fillId="2" borderId="5" xfId="7" applyNumberFormat="1" applyFont="1" applyFill="1" applyBorder="1" applyAlignment="1">
      <alignment horizontal="left" vertical="center"/>
    </xf>
    <xf numFmtId="164" fontId="10" fillId="3" borderId="3" xfId="7" applyNumberFormat="1" applyFont="1" applyFill="1" applyBorder="1" applyAlignment="1">
      <alignment horizontal="left" vertical="center"/>
    </xf>
    <xf numFmtId="164" fontId="10" fillId="3" borderId="4" xfId="7" applyNumberFormat="1" applyFont="1" applyFill="1" applyBorder="1" applyAlignment="1">
      <alignment horizontal="left" vertical="center"/>
    </xf>
    <xf numFmtId="164" fontId="10" fillId="3" borderId="6" xfId="7" applyNumberFormat="1" applyFont="1" applyFill="1" applyBorder="1" applyAlignment="1">
      <alignment horizontal="left" vertical="center"/>
    </xf>
    <xf numFmtId="164" fontId="10" fillId="2" borderId="6" xfId="7" applyNumberFormat="1" applyFont="1" applyFill="1" applyBorder="1" applyAlignment="1">
      <alignment horizontal="left" vertical="center"/>
    </xf>
    <xf numFmtId="0" fontId="7" fillId="0" borderId="0" xfId="6" applyFont="1" applyAlignment="1">
      <alignment horizontal="center"/>
    </xf>
    <xf numFmtId="0" fontId="12" fillId="4" borderId="0" xfId="0" applyFont="1" applyFill="1"/>
    <xf numFmtId="0" fontId="11" fillId="4" borderId="0" xfId="0" applyFont="1" applyFill="1"/>
    <xf numFmtId="0" fontId="10" fillId="2" borderId="3" xfId="6" applyFont="1" applyFill="1" applyBorder="1" applyAlignment="1">
      <alignment horizontal="left" vertical="center" wrapText="1"/>
    </xf>
    <xf numFmtId="0" fontId="7" fillId="0" borderId="0" xfId="6" applyFont="1" applyAlignment="1">
      <alignment horizontal="left"/>
    </xf>
    <xf numFmtId="0" fontId="10" fillId="3" borderId="3" xfId="6" applyFont="1" applyFill="1" applyBorder="1" applyAlignment="1">
      <alignment horizontal="left" vertical="center" wrapText="1" indent="2"/>
    </xf>
    <xf numFmtId="0" fontId="10" fillId="2" borderId="3" xfId="6" applyFont="1" applyFill="1" applyBorder="1" applyAlignment="1">
      <alignment horizontal="left" vertical="center" wrapText="1" indent="2"/>
    </xf>
    <xf numFmtId="0" fontId="13" fillId="0" borderId="0" xfId="8" applyAlignment="1">
      <alignment horizontal="left" indent="1"/>
    </xf>
    <xf numFmtId="0" fontId="7" fillId="0" borderId="0" xfId="0" applyFont="1"/>
    <xf numFmtId="0" fontId="11" fillId="0" borderId="0" xfId="0" applyFont="1"/>
    <xf numFmtId="0" fontId="7" fillId="0" borderId="0" xfId="9" applyFont="1"/>
    <xf numFmtId="0" fontId="8" fillId="0" borderId="0" xfId="9" applyFont="1"/>
    <xf numFmtId="0" fontId="7" fillId="0" borderId="0" xfId="9" quotePrefix="1" applyFont="1" applyAlignment="1">
      <alignment horizontal="left"/>
    </xf>
    <xf numFmtId="0" fontId="8" fillId="0" borderId="0" xfId="9" quotePrefix="1" applyFont="1" applyAlignment="1">
      <alignment horizontal="left"/>
    </xf>
    <xf numFmtId="0" fontId="7" fillId="0" borderId="0" xfId="9" applyFont="1" applyAlignment="1">
      <alignment horizontal="left"/>
    </xf>
    <xf numFmtId="0" fontId="16" fillId="0" borderId="0" xfId="9" applyFont="1"/>
    <xf numFmtId="38" fontId="7" fillId="0" borderId="0" xfId="0" applyNumberFormat="1" applyFont="1"/>
    <xf numFmtId="38" fontId="8" fillId="0" borderId="12" xfId="9" applyNumberFormat="1" applyFont="1" applyBorder="1"/>
    <xf numFmtId="38" fontId="11" fillId="0" borderId="24" xfId="0" applyNumberFormat="1" applyFont="1" applyBorder="1"/>
    <xf numFmtId="172" fontId="7" fillId="0" borderId="0" xfId="0" applyNumberFormat="1" applyFont="1"/>
    <xf numFmtId="170" fontId="7" fillId="0" borderId="0" xfId="0" applyNumberFormat="1" applyFont="1"/>
    <xf numFmtId="38" fontId="8" fillId="0" borderId="0" xfId="9" applyNumberFormat="1" applyFont="1"/>
    <xf numFmtId="38" fontId="7" fillId="0" borderId="11" xfId="0" applyNumberFormat="1" applyFont="1" applyBorder="1"/>
    <xf numFmtId="0" fontId="7" fillId="0" borderId="0" xfId="0" applyFont="1" applyAlignment="1">
      <alignment wrapText="1"/>
    </xf>
    <xf numFmtId="38" fontId="11" fillId="0" borderId="25" xfId="0" applyNumberFormat="1" applyFont="1" applyBorder="1"/>
    <xf numFmtId="38" fontId="11" fillId="0" borderId="26" xfId="0" applyNumberFormat="1" applyFont="1" applyBorder="1"/>
    <xf numFmtId="38" fontId="11" fillId="0" borderId="12" xfId="0" applyNumberFormat="1" applyFont="1" applyBorder="1"/>
    <xf numFmtId="40" fontId="7" fillId="0" borderId="0" xfId="0" applyNumberFormat="1" applyFont="1"/>
    <xf numFmtId="0" fontId="18" fillId="0" borderId="0" xfId="0" applyFont="1" applyAlignment="1">
      <alignment horizontal="justify" vertical="center" wrapText="1"/>
    </xf>
    <xf numFmtId="0" fontId="10" fillId="0" borderId="0" xfId="0" quotePrefix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19" fillId="0" borderId="0" xfId="0" applyFont="1" applyAlignment="1">
      <alignment horizontal="left" vertical="center" wrapText="1"/>
    </xf>
    <xf numFmtId="0" fontId="10" fillId="0" borderId="0" xfId="0" applyFont="1" applyAlignment="1">
      <alignment horizontal="justify" vertical="center" wrapText="1"/>
    </xf>
    <xf numFmtId="0" fontId="20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38" fontId="11" fillId="0" borderId="24" xfId="0" applyNumberFormat="1" applyFont="1" applyBorder="1" applyAlignment="1">
      <alignment horizontal="center" vertical="center"/>
    </xf>
    <xf numFmtId="38" fontId="11" fillId="0" borderId="24" xfId="0" applyNumberFormat="1" applyFont="1" applyBorder="1" applyAlignment="1">
      <alignment horizontal="center"/>
    </xf>
    <xf numFmtId="38" fontId="7" fillId="0" borderId="0" xfId="0" applyNumberFormat="1" applyFont="1" applyAlignment="1">
      <alignment horizontal="center"/>
    </xf>
    <xf numFmtId="0" fontId="21" fillId="0" borderId="0" xfId="0" applyFont="1"/>
    <xf numFmtId="0" fontId="7" fillId="0" borderId="8" xfId="0" applyFont="1" applyBorder="1"/>
    <xf numFmtId="0" fontId="7" fillId="0" borderId="9" xfId="0" applyFont="1" applyBorder="1"/>
    <xf numFmtId="0" fontId="7" fillId="0" borderId="27" xfId="0" applyFont="1" applyBorder="1"/>
    <xf numFmtId="38" fontId="7" fillId="0" borderId="0" xfId="0" applyNumberFormat="1" applyFont="1" applyAlignment="1">
      <alignment vertical="center"/>
    </xf>
    <xf numFmtId="38" fontId="7" fillId="0" borderId="0" xfId="1" applyNumberFormat="1" applyFont="1" applyAlignment="1">
      <alignment horizontal="center" vertical="center"/>
    </xf>
    <xf numFmtId="38" fontId="11" fillId="0" borderId="12" xfId="0" applyNumberFormat="1" applyFont="1" applyBorder="1" applyAlignment="1">
      <alignment horizontal="center" vertical="center"/>
    </xf>
    <xf numFmtId="38" fontId="7" fillId="0" borderId="0" xfId="0" applyNumberFormat="1" applyFont="1" applyAlignment="1">
      <alignment horizontal="center" vertical="center"/>
    </xf>
    <xf numFmtId="38" fontId="7" fillId="0" borderId="11" xfId="0" applyNumberFormat="1" applyFont="1" applyBorder="1" applyAlignment="1">
      <alignment horizontal="center" vertical="center"/>
    </xf>
    <xf numFmtId="38" fontId="7" fillId="0" borderId="12" xfId="0" applyNumberFormat="1" applyFont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22" fillId="0" borderId="0" xfId="0" applyFont="1"/>
    <xf numFmtId="0" fontId="8" fillId="0" borderId="0" xfId="0" applyFont="1"/>
    <xf numFmtId="0" fontId="14" fillId="5" borderId="0" xfId="0" applyFont="1" applyFill="1" applyAlignment="1">
      <alignment horizontal="left"/>
    </xf>
    <xf numFmtId="49" fontId="9" fillId="5" borderId="0" xfId="0" applyNumberFormat="1" applyFont="1" applyFill="1"/>
    <xf numFmtId="0" fontId="9" fillId="5" borderId="0" xfId="0" applyFont="1" applyFill="1" applyAlignment="1">
      <alignment horizontal="left"/>
    </xf>
    <xf numFmtId="0" fontId="23" fillId="7" borderId="0" xfId="0" applyFont="1" applyFill="1" applyAlignment="1">
      <alignment horizontal="left"/>
    </xf>
    <xf numFmtId="49" fontId="24" fillId="7" borderId="0" xfId="0" applyNumberFormat="1" applyFont="1" applyFill="1" applyAlignment="1">
      <alignment horizontal="center"/>
    </xf>
    <xf numFmtId="49" fontId="25" fillId="0" borderId="0" xfId="0" applyNumberFormat="1" applyFont="1" applyAlignment="1">
      <alignment horizontal="left" indent="2"/>
    </xf>
    <xf numFmtId="0" fontId="26" fillId="0" borderId="0" xfId="0" applyFont="1"/>
    <xf numFmtId="0" fontId="26" fillId="8" borderId="0" xfId="0" applyFont="1" applyFill="1"/>
    <xf numFmtId="38" fontId="7" fillId="0" borderId="0" xfId="1" applyNumberFormat="1" applyFont="1" applyFill="1" applyBorder="1" applyAlignment="1">
      <alignment horizontal="right"/>
    </xf>
    <xf numFmtId="166" fontId="7" fillId="0" borderId="0" xfId="4" applyNumberFormat="1" applyFont="1" applyFill="1" applyBorder="1" applyAlignment="1">
      <alignment horizontal="right"/>
    </xf>
    <xf numFmtId="164" fontId="7" fillId="0" borderId="0" xfId="1" applyNumberFormat="1" applyFont="1" applyFill="1"/>
    <xf numFmtId="167" fontId="7" fillId="0" borderId="0" xfId="3" applyNumberFormat="1" applyFont="1" applyFill="1" applyBorder="1" applyAlignment="1">
      <alignment horizontal="center"/>
    </xf>
    <xf numFmtId="164" fontId="7" fillId="0" borderId="0" xfId="1" applyNumberFormat="1" applyFont="1" applyFill="1" applyBorder="1"/>
    <xf numFmtId="164" fontId="7" fillId="0" borderId="0" xfId="1" applyNumberFormat="1" applyFont="1" applyFill="1" applyBorder="1" applyAlignment="1">
      <alignment horizontal="center"/>
    </xf>
    <xf numFmtId="38" fontId="7" fillId="0" borderId="0" xfId="3" applyNumberFormat="1" applyFont="1" applyBorder="1"/>
    <xf numFmtId="38" fontId="8" fillId="0" borderId="0" xfId="3" applyNumberFormat="1" applyFont="1" applyBorder="1"/>
    <xf numFmtId="165" fontId="7" fillId="0" borderId="0" xfId="1" applyNumberFormat="1" applyFont="1"/>
    <xf numFmtId="164" fontId="7" fillId="0" borderId="0" xfId="1" applyNumberFormat="1" applyFont="1"/>
    <xf numFmtId="0" fontId="8" fillId="0" borderId="26" xfId="0" applyFont="1" applyBorder="1"/>
    <xf numFmtId="164" fontId="8" fillId="0" borderId="26" xfId="0" applyNumberFormat="1" applyFont="1" applyBorder="1"/>
    <xf numFmtId="165" fontId="7" fillId="0" borderId="0" xfId="0" applyNumberFormat="1" applyFont="1"/>
    <xf numFmtId="0" fontId="9" fillId="12" borderId="1" xfId="6" applyFont="1" applyFill="1" applyBorder="1" applyAlignment="1">
      <alignment horizontal="left" vertical="center" wrapText="1"/>
    </xf>
    <xf numFmtId="0" fontId="9" fillId="12" borderId="1" xfId="6" applyFont="1" applyFill="1" applyBorder="1" applyAlignment="1">
      <alignment horizontal="center" vertical="center" wrapText="1"/>
    </xf>
    <xf numFmtId="0" fontId="9" fillId="12" borderId="2" xfId="6" applyFont="1" applyFill="1" applyBorder="1" applyAlignment="1">
      <alignment horizontal="center" vertical="center" wrapText="1"/>
    </xf>
    <xf numFmtId="0" fontId="9" fillId="12" borderId="14" xfId="6" applyFont="1" applyFill="1" applyBorder="1" applyAlignment="1">
      <alignment horizontal="left" vertical="center"/>
    </xf>
    <xf numFmtId="0" fontId="9" fillId="12" borderId="15" xfId="6" applyFont="1" applyFill="1" applyBorder="1" applyAlignment="1">
      <alignment horizontal="center" vertical="center" wrapText="1"/>
    </xf>
    <xf numFmtId="0" fontId="9" fillId="12" borderId="16" xfId="6" applyFont="1" applyFill="1" applyBorder="1" applyAlignment="1">
      <alignment horizontal="center" vertical="center" wrapText="1"/>
    </xf>
    <xf numFmtId="0" fontId="10" fillId="10" borderId="17" xfId="6" applyFont="1" applyFill="1" applyBorder="1" applyAlignment="1">
      <alignment horizontal="left" vertical="center"/>
    </xf>
    <xf numFmtId="164" fontId="10" fillId="10" borderId="3" xfId="7" applyNumberFormat="1" applyFont="1" applyFill="1" applyBorder="1" applyAlignment="1">
      <alignment horizontal="left" vertical="center"/>
    </xf>
    <xf numFmtId="164" fontId="10" fillId="10" borderId="4" xfId="7" applyNumberFormat="1" applyFont="1" applyFill="1" applyBorder="1" applyAlignment="1">
      <alignment horizontal="left" vertical="center"/>
    </xf>
    <xf numFmtId="164" fontId="10" fillId="10" borderId="5" xfId="7" applyNumberFormat="1" applyFont="1" applyFill="1" applyBorder="1" applyAlignment="1">
      <alignment horizontal="left" vertical="center"/>
    </xf>
    <xf numFmtId="0" fontId="10" fillId="11" borderId="17" xfId="6" applyFont="1" applyFill="1" applyBorder="1" applyAlignment="1">
      <alignment horizontal="left" vertical="center" indent="2"/>
    </xf>
    <xf numFmtId="164" fontId="10" fillId="11" borderId="3" xfId="7" applyNumberFormat="1" applyFont="1" applyFill="1" applyBorder="1" applyAlignment="1">
      <alignment horizontal="left" vertical="center"/>
    </xf>
    <xf numFmtId="164" fontId="10" fillId="11" borderId="4" xfId="7" applyNumberFormat="1" applyFont="1" applyFill="1" applyBorder="1" applyAlignment="1">
      <alignment horizontal="left" vertical="center"/>
    </xf>
    <xf numFmtId="164" fontId="10" fillId="11" borderId="6" xfId="7" applyNumberFormat="1" applyFont="1" applyFill="1" applyBorder="1" applyAlignment="1">
      <alignment horizontal="left" vertical="center"/>
    </xf>
    <xf numFmtId="0" fontId="10" fillId="10" borderId="18" xfId="6" applyFont="1" applyFill="1" applyBorder="1" applyAlignment="1">
      <alignment horizontal="left" vertical="center" indent="2"/>
    </xf>
    <xf numFmtId="164" fontId="10" fillId="10" borderId="19" xfId="7" applyNumberFormat="1" applyFont="1" applyFill="1" applyBorder="1" applyAlignment="1">
      <alignment horizontal="left" vertical="center"/>
    </xf>
    <xf numFmtId="164" fontId="10" fillId="10" borderId="20" xfId="7" applyNumberFormat="1" applyFont="1" applyFill="1" applyBorder="1" applyAlignment="1">
      <alignment horizontal="left" vertical="center"/>
    </xf>
    <xf numFmtId="164" fontId="10" fillId="10" borderId="7" xfId="7" applyNumberFormat="1" applyFont="1" applyFill="1" applyBorder="1" applyAlignment="1">
      <alignment horizontal="left" vertical="center"/>
    </xf>
    <xf numFmtId="0" fontId="9" fillId="12" borderId="21" xfId="6" applyFont="1" applyFill="1" applyBorder="1" applyAlignment="1">
      <alignment horizontal="center" vertical="center" wrapText="1"/>
    </xf>
    <xf numFmtId="164" fontId="10" fillId="10" borderId="3" xfId="7" applyNumberFormat="1" applyFont="1" applyFill="1" applyBorder="1" applyAlignment="1">
      <alignment horizontal="center" vertical="center" wrapText="1"/>
    </xf>
    <xf numFmtId="164" fontId="10" fillId="10" borderId="22" xfId="7" applyNumberFormat="1" applyFont="1" applyFill="1" applyBorder="1" applyAlignment="1">
      <alignment horizontal="center" vertical="center" wrapText="1"/>
    </xf>
    <xf numFmtId="164" fontId="10" fillId="11" borderId="3" xfId="7" applyNumberFormat="1" applyFont="1" applyFill="1" applyBorder="1" applyAlignment="1">
      <alignment horizontal="center" vertical="center" wrapText="1"/>
    </xf>
    <xf numFmtId="164" fontId="10" fillId="11" borderId="22" xfId="7" applyNumberFormat="1" applyFont="1" applyFill="1" applyBorder="1" applyAlignment="1">
      <alignment horizontal="center" vertical="center" wrapText="1"/>
    </xf>
    <xf numFmtId="164" fontId="10" fillId="10" borderId="19" xfId="7" applyNumberFormat="1" applyFont="1" applyFill="1" applyBorder="1" applyAlignment="1">
      <alignment horizontal="center" vertical="center" wrapText="1"/>
    </xf>
    <xf numFmtId="164" fontId="10" fillId="10" borderId="23" xfId="7" applyNumberFormat="1" applyFont="1" applyFill="1" applyBorder="1" applyAlignment="1">
      <alignment horizontal="center" vertical="center" wrapText="1"/>
    </xf>
    <xf numFmtId="164" fontId="10" fillId="11" borderId="23" xfId="7" applyNumberFormat="1" applyFont="1" applyFill="1" applyBorder="1" applyAlignment="1">
      <alignment horizontal="center" vertical="center" wrapText="1"/>
    </xf>
    <xf numFmtId="165" fontId="10" fillId="11" borderId="3" xfId="7" applyNumberFormat="1" applyFont="1" applyFill="1" applyBorder="1" applyAlignment="1">
      <alignment horizontal="center" vertical="center" wrapText="1"/>
    </xf>
    <xf numFmtId="165" fontId="10" fillId="11" borderId="22" xfId="7" applyNumberFormat="1" applyFont="1" applyFill="1" applyBorder="1" applyAlignment="1">
      <alignment horizontal="center" vertical="center" wrapText="1"/>
    </xf>
    <xf numFmtId="164" fontId="29" fillId="10" borderId="19" xfId="7" applyNumberFormat="1" applyFont="1" applyFill="1" applyBorder="1" applyAlignment="1">
      <alignment horizontal="center" vertical="center" wrapText="1"/>
    </xf>
    <xf numFmtId="165" fontId="29" fillId="10" borderId="19" xfId="7" applyNumberFormat="1" applyFont="1" applyFill="1" applyBorder="1" applyAlignment="1">
      <alignment horizontal="center" vertical="center" wrapText="1"/>
    </xf>
    <xf numFmtId="0" fontId="28" fillId="0" borderId="0" xfId="0" applyFont="1"/>
    <xf numFmtId="0" fontId="30" fillId="0" borderId="0" xfId="0" applyFont="1"/>
    <xf numFmtId="0" fontId="7" fillId="12" borderId="0" xfId="0" applyFont="1" applyFill="1"/>
    <xf numFmtId="38" fontId="7" fillId="0" borderId="8" xfId="1" applyNumberFormat="1" applyFont="1" applyBorder="1"/>
    <xf numFmtId="38" fontId="7" fillId="0" borderId="9" xfId="1" applyNumberFormat="1" applyFont="1" applyBorder="1"/>
    <xf numFmtId="0" fontId="7" fillId="0" borderId="10" xfId="0" applyFont="1" applyBorder="1"/>
    <xf numFmtId="38" fontId="7" fillId="0" borderId="0" xfId="1" applyNumberFormat="1" applyFont="1" applyBorder="1"/>
    <xf numFmtId="0" fontId="14" fillId="13" borderId="0" xfId="0" applyFont="1" applyFill="1" applyAlignment="1">
      <alignment horizontal="left"/>
    </xf>
    <xf numFmtId="49" fontId="9" fillId="13" borderId="0" xfId="0" applyNumberFormat="1" applyFont="1" applyFill="1"/>
    <xf numFmtId="0" fontId="15" fillId="14" borderId="11" xfId="0" applyFont="1" applyFill="1" applyBorder="1" applyAlignment="1">
      <alignment horizontal="left"/>
    </xf>
    <xf numFmtId="49" fontId="9" fillId="13" borderId="11" xfId="0" applyNumberFormat="1" applyFont="1" applyFill="1" applyBorder="1" applyAlignment="1">
      <alignment horizontal="center"/>
    </xf>
    <xf numFmtId="0" fontId="9" fillId="13" borderId="11" xfId="0" applyFont="1" applyFill="1" applyBorder="1" applyAlignment="1">
      <alignment horizontal="left"/>
    </xf>
    <xf numFmtId="0" fontId="27" fillId="0" borderId="0" xfId="0" applyFont="1"/>
    <xf numFmtId="0" fontId="31" fillId="12" borderId="0" xfId="0" applyFont="1" applyFill="1" applyAlignment="1">
      <alignment horizontal="center"/>
    </xf>
    <xf numFmtId="43" fontId="7" fillId="0" borderId="0" xfId="0" applyNumberFormat="1" applyFont="1"/>
    <xf numFmtId="0" fontId="15" fillId="6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7" fillId="15" borderId="0" xfId="0" applyFont="1" applyFill="1"/>
    <xf numFmtId="166" fontId="7" fillId="0" borderId="0" xfId="0" applyNumberFormat="1" applyFont="1"/>
    <xf numFmtId="9" fontId="7" fillId="0" borderId="0" xfId="2" applyFont="1" applyBorder="1" applyAlignment="1">
      <alignment horizontal="center"/>
    </xf>
    <xf numFmtId="166" fontId="7" fillId="0" borderId="0" xfId="4" applyNumberFormat="1" applyFont="1" applyBorder="1" applyAlignment="1">
      <alignment horizontal="right"/>
    </xf>
    <xf numFmtId="38" fontId="7" fillId="0" borderId="0" xfId="1" applyNumberFormat="1" applyFont="1" applyBorder="1" applyAlignment="1">
      <alignment horizontal="right"/>
    </xf>
    <xf numFmtId="38" fontId="8" fillId="0" borderId="0" xfId="1" applyNumberFormat="1" applyFont="1" applyBorder="1" applyAlignment="1">
      <alignment horizontal="right"/>
    </xf>
    <xf numFmtId="166" fontId="8" fillId="0" borderId="0" xfId="4" applyNumberFormat="1" applyFont="1" applyBorder="1" applyAlignment="1">
      <alignment horizontal="right"/>
    </xf>
    <xf numFmtId="164" fontId="7" fillId="0" borderId="0" xfId="3" applyNumberFormat="1" applyFont="1" applyBorder="1" applyAlignment="1">
      <alignment horizontal="center"/>
    </xf>
    <xf numFmtId="167" fontId="7" fillId="0" borderId="0" xfId="3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0" fontId="7" fillId="0" borderId="11" xfId="0" applyFont="1" applyBorder="1"/>
    <xf numFmtId="43" fontId="7" fillId="0" borderId="11" xfId="0" applyNumberFormat="1" applyFont="1" applyBorder="1"/>
    <xf numFmtId="164" fontId="7" fillId="0" borderId="0" xfId="0" applyNumberFormat="1" applyFont="1"/>
    <xf numFmtId="168" fontId="7" fillId="0" borderId="0" xfId="0" applyNumberFormat="1" applyFont="1"/>
    <xf numFmtId="164" fontId="21" fillId="0" borderId="0" xfId="0" applyNumberFormat="1" applyFont="1"/>
    <xf numFmtId="0" fontId="15" fillId="6" borderId="0" xfId="0" applyFont="1" applyFill="1" applyAlignment="1">
      <alignment horizontal="center"/>
    </xf>
    <xf numFmtId="40" fontId="8" fillId="0" borderId="0" xfId="3" applyNumberFormat="1" applyFont="1" applyFill="1" applyBorder="1"/>
    <xf numFmtId="0" fontId="7" fillId="0" borderId="28" xfId="0" applyFont="1" applyBorder="1"/>
    <xf numFmtId="164" fontId="7" fillId="0" borderId="28" xfId="1" applyNumberFormat="1" applyFont="1" applyBorder="1"/>
    <xf numFmtId="0" fontId="7" fillId="0" borderId="29" xfId="0" applyFont="1" applyBorder="1"/>
    <xf numFmtId="171" fontId="7" fillId="0" borderId="28" xfId="0" applyNumberFormat="1" applyFont="1" applyBorder="1"/>
    <xf numFmtId="0" fontId="21" fillId="0" borderId="28" xfId="0" applyFont="1" applyBorder="1"/>
    <xf numFmtId="38" fontId="7" fillId="0" borderId="27" xfId="1" applyNumberFormat="1" applyFont="1" applyBorder="1"/>
    <xf numFmtId="170" fontId="7" fillId="0" borderId="27" xfId="2" applyNumberFormat="1" applyFont="1" applyBorder="1"/>
    <xf numFmtId="170" fontId="7" fillId="0" borderId="9" xfId="2" applyNumberFormat="1" applyFont="1" applyBorder="1"/>
    <xf numFmtId="170" fontId="7" fillId="0" borderId="10" xfId="2" applyNumberFormat="1" applyFont="1" applyBorder="1"/>
    <xf numFmtId="0" fontId="32" fillId="0" borderId="0" xfId="0" applyFont="1" applyAlignment="1">
      <alignment vertical="center"/>
    </xf>
    <xf numFmtId="0" fontId="17" fillId="0" borderId="0" xfId="6" applyFont="1"/>
    <xf numFmtId="0" fontId="17" fillId="0" borderId="0" xfId="0" applyFont="1"/>
    <xf numFmtId="0" fontId="7" fillId="4" borderId="0" xfId="0" applyFont="1" applyFill="1"/>
    <xf numFmtId="0" fontId="8" fillId="15" borderId="0" xfId="0" applyFont="1" applyFill="1"/>
    <xf numFmtId="0" fontId="8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33" fillId="0" borderId="0" xfId="8" applyFont="1" applyAlignment="1">
      <alignment horizontal="left" indent="1"/>
    </xf>
    <xf numFmtId="0" fontId="17" fillId="12" borderId="0" xfId="0" applyFont="1" applyFill="1" applyAlignment="1">
      <alignment horizontal="center" vertical="center"/>
    </xf>
    <xf numFmtId="9" fontId="7" fillId="0" borderId="0" xfId="2" applyFont="1" applyBorder="1" applyAlignment="1">
      <alignment horizontal="center" vertical="center"/>
    </xf>
    <xf numFmtId="38" fontId="15" fillId="6" borderId="0" xfId="0" applyNumberFormat="1" applyFont="1" applyFill="1" applyAlignment="1">
      <alignment horizontal="center"/>
    </xf>
    <xf numFmtId="38" fontId="7" fillId="0" borderId="0" xfId="4" applyNumberFormat="1" applyFont="1" applyBorder="1" applyAlignment="1">
      <alignment horizontal="right"/>
    </xf>
    <xf numFmtId="38" fontId="7" fillId="0" borderId="0" xfId="3" applyNumberFormat="1" applyFont="1" applyBorder="1" applyAlignment="1">
      <alignment horizontal="center"/>
    </xf>
    <xf numFmtId="38" fontId="7" fillId="0" borderId="0" xfId="1" applyNumberFormat="1" applyFont="1"/>
    <xf numFmtId="38" fontId="21" fillId="0" borderId="0" xfId="0" applyNumberFormat="1" applyFont="1"/>
    <xf numFmtId="49" fontId="9" fillId="5" borderId="0" xfId="0" applyNumberFormat="1" applyFont="1" applyFill="1" applyAlignment="1">
      <alignment horizontal="center" wrapText="1"/>
    </xf>
    <xf numFmtId="0" fontId="9" fillId="14" borderId="11" xfId="0" applyFont="1" applyFill="1" applyBorder="1" applyAlignment="1">
      <alignment horizontal="left"/>
    </xf>
    <xf numFmtId="0" fontId="9" fillId="14" borderId="11" xfId="0" applyFont="1" applyFill="1" applyBorder="1" applyAlignment="1">
      <alignment horizontal="right"/>
    </xf>
    <xf numFmtId="0" fontId="8" fillId="17" borderId="0" xfId="0" applyFont="1" applyFill="1"/>
    <xf numFmtId="0" fontId="7" fillId="17" borderId="0" xfId="0" applyFont="1" applyFill="1"/>
    <xf numFmtId="49" fontId="34" fillId="16" borderId="0" xfId="0" applyNumberFormat="1" applyFont="1" applyFill="1" applyAlignment="1">
      <alignment horizontal="left"/>
    </xf>
    <xf numFmtId="49" fontId="26" fillId="0" borderId="0" xfId="0" applyNumberFormat="1" applyFont="1" applyAlignment="1">
      <alignment horizontal="left"/>
    </xf>
    <xf numFmtId="49" fontId="34" fillId="7" borderId="0" xfId="0" applyNumberFormat="1" applyFont="1" applyFill="1" applyAlignment="1">
      <alignment horizontal="left"/>
    </xf>
    <xf numFmtId="49" fontId="35" fillId="0" borderId="0" xfId="0" applyNumberFormat="1" applyFont="1" applyAlignment="1">
      <alignment horizontal="left" indent="2"/>
    </xf>
    <xf numFmtId="169" fontId="19" fillId="16" borderId="0" xfId="0" applyNumberFormat="1" applyFont="1" applyFill="1" applyAlignment="1">
      <alignment horizontal="right"/>
    </xf>
    <xf numFmtId="38" fontId="19" fillId="16" borderId="0" xfId="0" applyNumberFormat="1" applyFont="1" applyFill="1" applyAlignment="1">
      <alignment horizontal="right"/>
    </xf>
    <xf numFmtId="170" fontId="19" fillId="16" borderId="0" xfId="2" applyNumberFormat="1" applyFont="1" applyFill="1" applyBorder="1" applyAlignment="1">
      <alignment horizontal="right"/>
    </xf>
    <xf numFmtId="169" fontId="19" fillId="0" borderId="0" xfId="0" applyNumberFormat="1" applyFont="1" applyAlignment="1">
      <alignment horizontal="right"/>
    </xf>
    <xf numFmtId="38" fontId="19" fillId="0" borderId="0" xfId="0" applyNumberFormat="1" applyFont="1" applyAlignment="1">
      <alignment horizontal="right"/>
    </xf>
    <xf numFmtId="170" fontId="19" fillId="7" borderId="0" xfId="2" applyNumberFormat="1" applyFont="1" applyFill="1" applyBorder="1" applyAlignment="1">
      <alignment horizontal="right"/>
    </xf>
    <xf numFmtId="170" fontId="21" fillId="0" borderId="0" xfId="2" applyNumberFormat="1" applyFont="1" applyFill="1" applyBorder="1"/>
    <xf numFmtId="169" fontId="19" fillId="7" borderId="0" xfId="0" applyNumberFormat="1" applyFont="1" applyFill="1" applyAlignment="1">
      <alignment horizontal="right"/>
    </xf>
    <xf numFmtId="38" fontId="19" fillId="7" borderId="0" xfId="0" applyNumberFormat="1" applyFont="1" applyFill="1" applyAlignment="1">
      <alignment horizontal="right"/>
    </xf>
    <xf numFmtId="38" fontId="19" fillId="9" borderId="0" xfId="0" applyNumberFormat="1" applyFont="1" applyFill="1" applyAlignment="1">
      <alignment horizontal="right"/>
    </xf>
    <xf numFmtId="170" fontId="19" fillId="9" borderId="0" xfId="2" applyNumberFormat="1" applyFont="1" applyFill="1" applyBorder="1" applyAlignment="1">
      <alignment horizontal="right"/>
    </xf>
    <xf numFmtId="49" fontId="36" fillId="16" borderId="0" xfId="0" applyNumberFormat="1" applyFont="1" applyFill="1" applyAlignment="1">
      <alignment horizontal="left"/>
    </xf>
    <xf numFmtId="49" fontId="19" fillId="0" borderId="0" xfId="0" applyNumberFormat="1" applyFont="1" applyAlignment="1">
      <alignment horizontal="left"/>
    </xf>
    <xf numFmtId="38" fontId="19" fillId="17" borderId="0" xfId="0" applyNumberFormat="1" applyFont="1" applyFill="1" applyAlignment="1">
      <alignment horizontal="right"/>
    </xf>
    <xf numFmtId="49" fontId="36" fillId="7" borderId="0" xfId="0" applyNumberFormat="1" applyFont="1" applyFill="1" applyAlignment="1">
      <alignment horizontal="left"/>
    </xf>
    <xf numFmtId="0" fontId="19" fillId="0" borderId="0" xfId="0" applyFont="1"/>
    <xf numFmtId="0" fontId="19" fillId="8" borderId="0" xfId="0" applyFont="1" applyFill="1"/>
    <xf numFmtId="0" fontId="10" fillId="0" borderId="0" xfId="0" applyFont="1"/>
    <xf numFmtId="0" fontId="9" fillId="5" borderId="0" xfId="0" applyFont="1" applyFill="1" applyAlignment="1">
      <alignment horizontal="center"/>
    </xf>
    <xf numFmtId="2" fontId="7" fillId="0" borderId="0" xfId="0" applyNumberFormat="1" applyFont="1"/>
    <xf numFmtId="38" fontId="7" fillId="0" borderId="0" xfId="1" applyNumberFormat="1" applyFont="1" applyFill="1" applyAlignment="1">
      <alignment horizontal="center" vertical="center"/>
    </xf>
    <xf numFmtId="38" fontId="7" fillId="0" borderId="9" xfId="0" applyNumberFormat="1" applyFont="1" applyBorder="1" applyAlignment="1">
      <alignment vertical="center"/>
    </xf>
    <xf numFmtId="171" fontId="7" fillId="0" borderId="9" xfId="2" applyNumberFormat="1" applyFont="1" applyFill="1" applyBorder="1" applyAlignment="1">
      <alignment vertical="center"/>
    </xf>
    <xf numFmtId="38" fontId="7" fillId="0" borderId="8" xfId="0" applyNumberFormat="1" applyFont="1" applyBorder="1" applyAlignment="1">
      <alignment vertical="center"/>
    </xf>
    <xf numFmtId="164" fontId="7" fillId="0" borderId="0" xfId="1" applyNumberFormat="1" applyFont="1" applyBorder="1"/>
    <xf numFmtId="43" fontId="7" fillId="0" borderId="0" xfId="1" applyFont="1"/>
    <xf numFmtId="1" fontId="7" fillId="0" borderId="0" xfId="0" applyNumberFormat="1" applyFont="1"/>
    <xf numFmtId="174" fontId="7" fillId="0" borderId="0" xfId="0" applyNumberFormat="1" applyFont="1"/>
    <xf numFmtId="0" fontId="31" fillId="12" borderId="0" xfId="0" applyFont="1" applyFill="1" applyAlignment="1">
      <alignment horizontal="center" vertical="center"/>
    </xf>
    <xf numFmtId="171" fontId="7" fillId="0" borderId="0" xfId="2" applyNumberFormat="1" applyFont="1" applyFill="1"/>
    <xf numFmtId="0" fontId="37" fillId="0" borderId="0" xfId="0" applyFont="1"/>
    <xf numFmtId="10" fontId="7" fillId="0" borderId="0" xfId="0" applyNumberFormat="1" applyFont="1"/>
    <xf numFmtId="9" fontId="7" fillId="0" borderId="28" xfId="2" applyFont="1" applyBorder="1"/>
    <xf numFmtId="0" fontId="10" fillId="0" borderId="8" xfId="0" applyFont="1" applyBorder="1" applyAlignment="1">
      <alignment vertical="center"/>
    </xf>
    <xf numFmtId="164" fontId="7" fillId="0" borderId="8" xfId="1" applyNumberFormat="1" applyFont="1" applyBorder="1"/>
    <xf numFmtId="164" fontId="10" fillId="0" borderId="8" xfId="1" applyNumberFormat="1" applyFont="1" applyBorder="1" applyAlignment="1">
      <alignment horizontal="right" vertical="center"/>
    </xf>
    <xf numFmtId="164" fontId="7" fillId="0" borderId="8" xfId="1" applyNumberFormat="1" applyFont="1" applyBorder="1" applyAlignment="1">
      <alignment horizontal="right" vertical="center"/>
    </xf>
    <xf numFmtId="0" fontId="10" fillId="0" borderId="9" xfId="0" applyFont="1" applyBorder="1" applyAlignment="1">
      <alignment vertical="center"/>
    </xf>
    <xf numFmtId="164" fontId="7" fillId="0" borderId="9" xfId="1" applyNumberFormat="1" applyFont="1" applyBorder="1"/>
    <xf numFmtId="164" fontId="10" fillId="0" borderId="9" xfId="1" applyNumberFormat="1" applyFont="1" applyBorder="1" applyAlignment="1">
      <alignment horizontal="right" vertical="center"/>
    </xf>
    <xf numFmtId="164" fontId="7" fillId="0" borderId="9" xfId="1" applyNumberFormat="1" applyFont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164" fontId="10" fillId="0" borderId="10" xfId="1" applyNumberFormat="1" applyFont="1" applyBorder="1" applyAlignment="1">
      <alignment horizontal="right" vertical="center"/>
    </xf>
    <xf numFmtId="164" fontId="7" fillId="0" borderId="10" xfId="1" applyNumberFormat="1" applyFont="1" applyBorder="1" applyAlignment="1">
      <alignment horizontal="right" vertical="center"/>
    </xf>
    <xf numFmtId="164" fontId="7" fillId="0" borderId="8" xfId="1" applyNumberFormat="1" applyFont="1" applyFill="1" applyBorder="1" applyAlignment="1">
      <alignment horizontal="right" vertical="center"/>
    </xf>
    <xf numFmtId="164" fontId="7" fillId="0" borderId="9" xfId="1" applyNumberFormat="1" applyFont="1" applyFill="1" applyBorder="1" applyAlignment="1">
      <alignment horizontal="right" vertical="center"/>
    </xf>
    <xf numFmtId="164" fontId="7" fillId="0" borderId="10" xfId="1" applyNumberFormat="1" applyFont="1" applyFill="1" applyBorder="1" applyAlignment="1">
      <alignment horizontal="right" vertical="center"/>
    </xf>
    <xf numFmtId="170" fontId="19" fillId="0" borderId="0" xfId="2" applyNumberFormat="1" applyFont="1" applyFill="1" applyBorder="1" applyAlignment="1">
      <alignment horizontal="right"/>
    </xf>
    <xf numFmtId="169" fontId="7" fillId="0" borderId="0" xfId="0" applyNumberFormat="1" applyFont="1"/>
    <xf numFmtId="40" fontId="7" fillId="0" borderId="0" xfId="3" applyNumberFormat="1" applyFont="1" applyFill="1" applyBorder="1"/>
    <xf numFmtId="175" fontId="7" fillId="0" borderId="0" xfId="1" applyNumberFormat="1" applyFont="1"/>
    <xf numFmtId="9" fontId="7" fillId="0" borderId="0" xfId="2" applyFont="1" applyFill="1"/>
    <xf numFmtId="3" fontId="7" fillId="0" borderId="0" xfId="0" applyNumberFormat="1" applyFont="1"/>
    <xf numFmtId="43" fontId="7" fillId="0" borderId="0" xfId="6" applyNumberFormat="1" applyFont="1"/>
    <xf numFmtId="38" fontId="8" fillId="0" borderId="0" xfId="3" applyNumberFormat="1" applyFont="1" applyFill="1" applyBorder="1"/>
    <xf numFmtId="9" fontId="7" fillId="0" borderId="0" xfId="2" applyFont="1" applyFill="1" applyBorder="1" applyAlignment="1">
      <alignment horizontal="center"/>
    </xf>
    <xf numFmtId="40" fontId="7" fillId="0" borderId="0" xfId="3" applyNumberFormat="1" applyFont="1" applyBorder="1"/>
    <xf numFmtId="49" fontId="9" fillId="5" borderId="0" xfId="0" applyNumberFormat="1" applyFont="1" applyFill="1" applyAlignment="1">
      <alignment horizontal="center" wrapText="1"/>
    </xf>
    <xf numFmtId="0" fontId="31" fillId="12" borderId="0" xfId="0" applyFont="1" applyFill="1" applyAlignment="1">
      <alignment horizontal="center"/>
    </xf>
    <xf numFmtId="0" fontId="9" fillId="6" borderId="13" xfId="0" applyFont="1" applyFill="1" applyBorder="1" applyAlignment="1">
      <alignment horizontal="left"/>
    </xf>
  </cellXfs>
  <cellStyles count="20">
    <cellStyle name="Comma" xfId="1" builtinId="3"/>
    <cellStyle name="Comma 12" xfId="12" xr:uid="{6B8E2544-AD03-4EF3-9780-02BD56FADD21}"/>
    <cellStyle name="Comma 2" xfId="3" xr:uid="{1A70046C-AB87-4D44-A261-1FF3B6996944}"/>
    <cellStyle name="Comma 3" xfId="7" xr:uid="{8959B3B2-B5CF-40B7-84EF-28F88E083B11}"/>
    <cellStyle name="Comma 3 2" xfId="13" xr:uid="{7F668E7A-1848-4CFB-9198-9B353AE83A8A}"/>
    <cellStyle name="Comma 3 3" xfId="15" xr:uid="{073AFA0E-1FF9-4154-BD4C-1491862C35D0}"/>
    <cellStyle name="Comma 4" xfId="18" xr:uid="{5AC73F3D-880C-4288-8490-19ABC9BA724D}"/>
    <cellStyle name="Hyperlink" xfId="8" builtinId="8"/>
    <cellStyle name="Normal" xfId="0" builtinId="0"/>
    <cellStyle name="Normal 2" xfId="6" xr:uid="{0A9740B7-A6D6-4EB3-B423-74DACB1DFF43}"/>
    <cellStyle name="Normal 2 2" xfId="9" xr:uid="{BA65F987-AB52-4DA7-B8F9-2AE3626222EE}"/>
    <cellStyle name="Normal 3" xfId="10" xr:uid="{F59DDD8A-6658-425E-B1B5-54D1F9DB1230}"/>
    <cellStyle name="Normal 3 2" xfId="11" xr:uid="{A949EDC7-FBE5-4178-A4EC-317F58DF8F07}"/>
    <cellStyle name="Normal 3 2 2" xfId="14" xr:uid="{C760FEAF-4B9F-4090-908A-A074E8DAD05A}"/>
    <cellStyle name="Normal 3 3" xfId="16" xr:uid="{4B656F10-6BC3-4E5B-BE0D-6B3F3D90EA56}"/>
    <cellStyle name="Normal 4" xfId="17" xr:uid="{809EE0BF-1352-425A-BE1D-CB60406D1939}"/>
    <cellStyle name="Percent" xfId="2" builtinId="5"/>
    <cellStyle name="Percent 2" xfId="4" xr:uid="{72395AA4-C6FE-4865-BEEC-51EAD7C4A456}"/>
    <cellStyle name="Percent 2 2" xfId="5" xr:uid="{50EAF2F7-38FB-4044-971F-6DC498595600}"/>
    <cellStyle name="Percent 3" xfId="19" xr:uid="{C41E499B-1491-4ED9-A0E1-80CE2BCC11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3</xdr:row>
      <xdr:rowOff>19051</xdr:rowOff>
    </xdr:from>
    <xdr:to>
      <xdr:col>12</xdr:col>
      <xdr:colOff>104775</xdr:colOff>
      <xdr:row>7</xdr:row>
      <xdr:rowOff>140913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93AFFE-ADDD-2084-3550-CD74FEADF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14750" y="504826"/>
          <a:ext cx="4800600" cy="769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95250</xdr:rowOff>
    </xdr:from>
    <xdr:to>
      <xdr:col>2</xdr:col>
      <xdr:colOff>460748</xdr:colOff>
      <xdr:row>2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4B036F-0660-4579-905F-1C6AAC1845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5006" t="22984" r="3479" b="51531"/>
        <a:stretch/>
      </xdr:blipFill>
      <xdr:spPr>
        <a:xfrm>
          <a:off x="733425" y="95250"/>
          <a:ext cx="946523" cy="314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76201</xdr:rowOff>
    </xdr:from>
    <xdr:to>
      <xdr:col>1</xdr:col>
      <xdr:colOff>1238250</xdr:colOff>
      <xdr:row>2</xdr:row>
      <xdr:rowOff>131024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56ED20-782C-4079-146D-6C1DDA619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6" y="76201"/>
          <a:ext cx="1181099" cy="3786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76201</xdr:rowOff>
    </xdr:from>
    <xdr:to>
      <xdr:col>1</xdr:col>
      <xdr:colOff>1238250</xdr:colOff>
      <xdr:row>2</xdr:row>
      <xdr:rowOff>131024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94C409-DEA9-4677-B187-CB26AB5F4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1" y="76201"/>
          <a:ext cx="1181099" cy="3786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76201</xdr:rowOff>
    </xdr:from>
    <xdr:to>
      <xdr:col>1</xdr:col>
      <xdr:colOff>1238250</xdr:colOff>
      <xdr:row>2</xdr:row>
      <xdr:rowOff>131024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F372B2-985B-41FB-801B-A8E272CD6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1" y="76201"/>
          <a:ext cx="1181099" cy="3786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104775</xdr:rowOff>
    </xdr:from>
    <xdr:to>
      <xdr:col>1</xdr:col>
      <xdr:colOff>1200150</xdr:colOff>
      <xdr:row>2</xdr:row>
      <xdr:rowOff>114664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C8E3AB-6460-B906-E3EA-87A0D16A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0550" y="104775"/>
          <a:ext cx="1219200" cy="3908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66675</xdr:rowOff>
    </xdr:from>
    <xdr:to>
      <xdr:col>1</xdr:col>
      <xdr:colOff>1266826</xdr:colOff>
      <xdr:row>2</xdr:row>
      <xdr:rowOff>133713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2130BF-0242-0BE0-C33F-7E9869AFE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7226" y="66675"/>
          <a:ext cx="1219200" cy="3908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amex.sharepoint.com/docs/balance_sheet/2012/Aramex%20PJSC/JKT%20BS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amex.sharepoint.com/Finance/Income%20Statements/2007/Financial%20reports-Dec'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amex.sharepoint.com/sites/Finance/docs/income_statements/2021/Adaptive%20Consolidation/05-May21%20Package%20AF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na/AppData/Local/Microsoft/Windows/INetCache/Content.Outlook/8VJ2XP7H/12-Dec22%20Package%20AFS%20Organi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amex.sharepoint.com/Users/benfrnz/Google%20Drive/1%20Iridium%20Shared/4%20TEMPLATES/Aramex/IRIDIUM%20-%20Aramex%20Data%20Pack%202016Q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amex.sharepoint.com/Users/leenr/AppData/Local/Microsoft/Windows/INetCache/Content.Outlook/XKA1CX5M/Aramex%20-%20Iridium%20additional%20first%20cut%20require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ment1"/>
      <sheetName val="SCHEDULE 1"/>
      <sheetName val="Prov. fr bad debts"/>
      <sheetName val="SCHEDULE 3"/>
      <sheetName val="SCHEDULE 4"/>
      <sheetName val="SCHEDULE 5"/>
      <sheetName val="SCHEDULE 6-WH"/>
      <sheetName val="SCHEDULE 6-Normal"/>
      <sheetName val="SCHEDULE 6-Total"/>
      <sheetName val="SCHEDULE 7"/>
      <sheetName val="SCHEDULE 8"/>
      <sheetName val="SCHEDULE 9"/>
      <sheetName val="Prov-Income Tax"/>
      <sheetName val="Deffered Tax"/>
      <sheetName val="SCHEDULE 11"/>
      <sheetName val="Non-Controlling Interest"/>
      <sheetName val="Cash proceeds Entries"/>
      <sheetName val="IPC Investment in GDA"/>
    </sheetNames>
    <sheetDataSet>
      <sheetData sheetId="0">
        <row r="7">
          <cell r="D7">
            <v>77083.109845469953</v>
          </cell>
        </row>
      </sheetData>
      <sheetData sheetId="1">
        <row r="7">
          <cell r="D7">
            <v>44507.500966342086</v>
          </cell>
        </row>
      </sheetData>
      <sheetData sheetId="2">
        <row r="8">
          <cell r="B8">
            <v>128.93615613628845</v>
          </cell>
        </row>
      </sheetData>
      <sheetData sheetId="3">
        <row r="7">
          <cell r="D7">
            <v>0</v>
          </cell>
        </row>
      </sheetData>
      <sheetData sheetId="4">
        <row r="6">
          <cell r="D6">
            <v>12449.364484546995</v>
          </cell>
        </row>
      </sheetData>
      <sheetData sheetId="5">
        <row r="7">
          <cell r="E7">
            <v>17167.061812023709</v>
          </cell>
        </row>
      </sheetData>
      <sheetData sheetId="6">
        <row r="35">
          <cell r="E35">
            <v>0</v>
          </cell>
        </row>
      </sheetData>
      <sheetData sheetId="7"/>
      <sheetData sheetId="8">
        <row r="35">
          <cell r="E35">
            <v>68575.604520895358</v>
          </cell>
        </row>
      </sheetData>
      <sheetData sheetId="9">
        <row r="32">
          <cell r="F32">
            <v>0</v>
          </cell>
        </row>
      </sheetData>
      <sheetData sheetId="10">
        <row r="8">
          <cell r="F8">
            <v>1069.9674281410066</v>
          </cell>
        </row>
      </sheetData>
      <sheetData sheetId="11">
        <row r="6">
          <cell r="D6">
            <v>281.89524978831497</v>
          </cell>
        </row>
      </sheetData>
      <sheetData sheetId="12">
        <row r="7">
          <cell r="B7">
            <v>2572.4246333664778</v>
          </cell>
        </row>
      </sheetData>
      <sheetData sheetId="13">
        <row r="7">
          <cell r="B7">
            <v>-17445.203761164405</v>
          </cell>
        </row>
      </sheetData>
      <sheetData sheetId="14">
        <row r="8">
          <cell r="B8">
            <v>47664.272001323181</v>
          </cell>
        </row>
      </sheetData>
      <sheetData sheetId="15">
        <row r="4">
          <cell r="D4">
            <v>95785.394511798455</v>
          </cell>
        </row>
      </sheetData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ummary"/>
      <sheetName val="Chart Analysis"/>
      <sheetName val="data"/>
      <sheetName val="Chart data"/>
    </sheetNames>
    <sheetDataSet>
      <sheetData sheetId="0">
        <row r="30">
          <cell r="C30" t="str">
            <v>U.S Dollars</v>
          </cell>
        </row>
        <row r="33">
          <cell r="B33">
            <v>1</v>
          </cell>
        </row>
        <row r="36">
          <cell r="B36">
            <v>2</v>
          </cell>
        </row>
      </sheetData>
      <sheetData sheetId="1"/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'21 vs Bud'21-Month"/>
      <sheetName val="Act'21 vs Bud'21-QTD"/>
      <sheetName val="Act'21 vs Bud'21-YTD"/>
      <sheetName val="Act'21 vs Bud'21-Apr+May"/>
      <sheetName val="Act'21 vs Act'20-Month"/>
      <sheetName val="Act'21 vs Act'20-QTD"/>
      <sheetName val="Act'21 vs Act'20-YTD"/>
      <sheetName val="Act'21 vs Act'20-Apr+May"/>
      <sheetName val="Act'20 Month by Month"/>
      <sheetName val="Bonus Summary"/>
      <sheetName val="Act Vs last year and Bud"/>
      <sheetName val="Condensed P&amp;L"/>
      <sheetName val="Act'21 vs Bud'21-Month EBIT"/>
      <sheetName val="Act'21 vs Bud'21-QTD EBIT"/>
      <sheetName val="Act'21 vs Bud'21-YTD EBIT"/>
      <sheetName val="Act'21 vs Bud'21-Apr+May EBIT"/>
      <sheetName val="Act'21 vs Act'20-Month EBIT"/>
      <sheetName val="Act'21 vs Act'20-QTD EBIT"/>
      <sheetName val="Act'21 vs Act'20-YTD EBIT"/>
      <sheetName val="Act'21 vs Act'20-Apr+May EBIT"/>
      <sheetName val="vs Budget Template"/>
      <sheetName val="vs last year template"/>
      <sheetName val="Apr+May template"/>
      <sheetName val="2021 vs 2020 vs 19 "/>
      <sheetName val="EBITDA"/>
      <sheetName val="Bonus "/>
      <sheetName val="Commission"/>
      <sheetName val="Lease payments"/>
      <sheetName val="Ratio"/>
      <sheetName val="Report Data"/>
      <sheetName val="Report Info"/>
    </sheetNames>
    <sheetDataSet>
      <sheetData sheetId="0"/>
      <sheetData sheetId="1"/>
      <sheetData sheetId="2"/>
      <sheetData sheetId="3"/>
      <sheetData sheetId="4">
        <row r="11">
          <cell r="D11">
            <v>108.74514159433467</v>
          </cell>
        </row>
      </sheetData>
      <sheetData sheetId="5">
        <row r="11">
          <cell r="D11">
            <v>274959.11761870037</v>
          </cell>
        </row>
      </sheetData>
      <sheetData sheetId="6">
        <row r="11">
          <cell r="D11">
            <v>250907.69581892149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'22 vs Act'21-Month"/>
      <sheetName val="Act'22 vs Bud'22-Month"/>
      <sheetName val="Act'22 vs Bud'22-QTD"/>
      <sheetName val="Act'22 vs Bud'22-YTD"/>
      <sheetName val="Act'22 vs Act'21-QTD"/>
      <sheetName val="Act'22 vs Act'21-YTD"/>
      <sheetName val="Act'22 Month by Month"/>
      <sheetName val="Act'22 vs Bud'22-Month EBIT"/>
      <sheetName val="Act'22 vs Bud'22-QTD EBIT"/>
      <sheetName val="Act'22 vs Bud'22-YTD EBIT"/>
      <sheetName val="Act'22 vs Act'21-Month EBIT"/>
      <sheetName val="Act'22 vs Act'21-QTD EBIT"/>
      <sheetName val="Act'22 vs Act'21-YTD EBIT"/>
      <sheetName val="Extraordinary items - split"/>
      <sheetName val="Extraordinary items"/>
      <sheetName val="Sheet1"/>
      <sheetName val="vs Budget Template"/>
      <sheetName val="vs last year template"/>
      <sheetName val="2022 vs 2021 vs 20 "/>
      <sheetName val="EBITDA"/>
      <sheetName val="BEY Impact"/>
      <sheetName val="Bonus "/>
      <sheetName val="Commission"/>
      <sheetName val="Avg Rev &amp; Cost Dec"/>
      <sheetName val="Avg Rev &amp; Cost per Month-data"/>
      <sheetName val="Other Revenue &amp; Cost Allocation"/>
      <sheetName val="FW other revenue &amp; Cost"/>
      <sheetName val="Report Data"/>
      <sheetName val="Report Info"/>
      <sheetName val="Normalizations Impact-Q4-Organi"/>
      <sheetName val="Normalizations Impact-YTD-Organ"/>
    </sheetNames>
    <sheetDataSet>
      <sheetData sheetId="0"/>
      <sheetData sheetId="1">
        <row r="11">
          <cell r="F11">
            <v>76745.979674528513</v>
          </cell>
        </row>
      </sheetData>
      <sheetData sheetId="2">
        <row r="11">
          <cell r="X11">
            <v>19920.774679999999</v>
          </cell>
        </row>
      </sheetData>
      <sheetData sheetId="3">
        <row r="11">
          <cell r="F11">
            <v>803901.43551965046</v>
          </cell>
        </row>
      </sheetData>
      <sheetData sheetId="4">
        <row r="11">
          <cell r="D11">
            <v>145506.69547721327</v>
          </cell>
        </row>
      </sheetData>
      <sheetData sheetId="5">
        <row r="11">
          <cell r="D11">
            <v>592420.63642031956</v>
          </cell>
        </row>
      </sheetData>
      <sheetData sheetId="6" refreshError="1"/>
      <sheetData sheetId="7">
        <row r="29">
          <cell r="D29">
            <v>130740.88973456628</v>
          </cell>
        </row>
      </sheetData>
      <sheetData sheetId="8">
        <row r="8">
          <cell r="D8" t="str">
            <v>For 3 months ended</v>
          </cell>
        </row>
      </sheetData>
      <sheetData sheetId="9">
        <row r="8">
          <cell r="D8" t="str">
            <v>For the period ended</v>
          </cell>
        </row>
      </sheetData>
      <sheetData sheetId="10">
        <row r="3">
          <cell r="B3" t="str">
            <v>Actual 2022 vs. 2021</v>
          </cell>
        </row>
      </sheetData>
      <sheetData sheetId="11" refreshError="1"/>
      <sheetData sheetId="12" refreshError="1"/>
      <sheetData sheetId="13" refreshError="1"/>
      <sheetData sheetId="14">
        <row r="88">
          <cell r="C88">
            <v>6719.9667047156163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9">
          <cell r="R9">
            <v>62.701700000000002</v>
          </cell>
        </row>
      </sheetData>
      <sheetData sheetId="26">
        <row r="20">
          <cell r="R20">
            <v>11869.225800153165</v>
          </cell>
        </row>
      </sheetData>
      <sheetData sheetId="27">
        <row r="7">
          <cell r="F7">
            <v>635014826.09339154</v>
          </cell>
        </row>
      </sheetData>
      <sheetData sheetId="28" refreshError="1"/>
      <sheetData sheetId="29" refreshError="1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Rate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BITDA"/>
      <sheetName val="Minorities &amp; Disc Ops"/>
      <sheetName val="Geographic Ownership"/>
      <sheetName val="Underlying P&amp;L"/>
      <sheetName val="X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3.6726000000000001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B325B-E0D0-464D-8BAD-9986BD29D38E}">
  <dimension ref="A1:BI50"/>
  <sheetViews>
    <sheetView showGridLines="0" tabSelected="1" zoomScaleNormal="100" workbookViewId="0">
      <selection activeCell="H28" sqref="H28"/>
    </sheetView>
  </sheetViews>
  <sheetFormatPr defaultColWidth="9.140625" defaultRowHeight="12.75" x14ac:dyDescent="0.2"/>
  <cols>
    <col min="1" max="2" width="9.140625" style="20"/>
    <col min="3" max="3" width="25.5703125" style="20" bestFit="1" customWidth="1"/>
    <col min="4" max="16384" width="9.140625" style="20"/>
  </cols>
  <sheetData>
    <row r="1" spans="1:61" x14ac:dyDescent="0.2">
      <c r="A1" s="162">
        <v>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</row>
    <row r="2" spans="1:61" x14ac:dyDescent="0.2">
      <c r="A2" s="162">
        <f>1/3.6726</f>
        <v>0.27228666339922669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</row>
    <row r="3" spans="1:61" x14ac:dyDescent="0.2"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</row>
    <row r="4" spans="1:61" x14ac:dyDescent="0.2">
      <c r="A4" s="162" t="str">
        <f>B5</f>
        <v>USD</v>
      </c>
      <c r="B4" s="164" t="s">
        <v>0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</row>
    <row r="5" spans="1:61" x14ac:dyDescent="0.2">
      <c r="A5" s="162">
        <f>IF(B5="AED",A1,A2)</f>
        <v>0.27228666339922669</v>
      </c>
      <c r="B5" s="163" t="s">
        <v>294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</row>
    <row r="6" spans="1:61" x14ac:dyDescent="0.2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</row>
    <row r="7" spans="1:61" x14ac:dyDescent="0.2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</row>
    <row r="8" spans="1:61" x14ac:dyDescent="0.2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</row>
    <row r="9" spans="1:61" x14ac:dyDescent="0.2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</row>
    <row r="10" spans="1:61" ht="51" x14ac:dyDescent="0.75">
      <c r="A10" s="163"/>
      <c r="B10" s="163"/>
      <c r="C10" s="163"/>
      <c r="D10" s="163"/>
      <c r="E10" s="163"/>
      <c r="F10" s="13" t="s">
        <v>293</v>
      </c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</row>
    <row r="11" spans="1:61" x14ac:dyDescent="0.2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</row>
    <row r="12" spans="1:61" x14ac:dyDescent="0.2">
      <c r="A12" s="163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</row>
    <row r="13" spans="1:61" x14ac:dyDescent="0.2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</row>
    <row r="14" spans="1:61" x14ac:dyDescent="0.2">
      <c r="A14" s="163"/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</row>
    <row r="15" spans="1:61" ht="15" x14ac:dyDescent="0.25">
      <c r="A15" s="163"/>
      <c r="B15" s="163"/>
      <c r="C15" s="14" t="s">
        <v>1</v>
      </c>
      <c r="D15" s="14"/>
      <c r="E15" s="14"/>
      <c r="F15" s="14"/>
      <c r="G15" s="14"/>
      <c r="H15" s="14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</row>
    <row r="16" spans="1:61" ht="15" x14ac:dyDescent="0.25">
      <c r="A16" s="163"/>
      <c r="B16" s="163"/>
      <c r="C16" s="14" t="s">
        <v>2</v>
      </c>
      <c r="D16" s="14" t="s">
        <v>3</v>
      </c>
      <c r="E16" s="14"/>
      <c r="F16" s="14"/>
      <c r="G16" s="14"/>
      <c r="H16" s="14" t="s">
        <v>4</v>
      </c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</row>
    <row r="17" spans="1:61" ht="15" x14ac:dyDescent="0.25">
      <c r="A17" s="163"/>
      <c r="B17" s="163"/>
      <c r="C17" s="14" t="s">
        <v>5</v>
      </c>
      <c r="D17" s="14" t="s">
        <v>6</v>
      </c>
      <c r="E17" s="14"/>
      <c r="F17" s="14"/>
      <c r="G17" s="14"/>
      <c r="H17" s="14" t="s">
        <v>7</v>
      </c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  <c r="BI17" s="163"/>
    </row>
    <row r="18" spans="1:61" ht="15" x14ac:dyDescent="0.25">
      <c r="A18" s="163"/>
      <c r="B18" s="163"/>
      <c r="C18" s="14"/>
      <c r="D18" s="14"/>
      <c r="E18" s="14"/>
      <c r="F18" s="14"/>
      <c r="G18" s="14"/>
      <c r="H18" s="14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</row>
    <row r="19" spans="1:61" ht="15" x14ac:dyDescent="0.25">
      <c r="A19" s="163"/>
      <c r="B19" s="163"/>
      <c r="C19" s="14"/>
      <c r="D19" s="14"/>
      <c r="E19" s="14"/>
      <c r="F19" s="14"/>
      <c r="G19" s="14"/>
      <c r="H19" s="14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</row>
    <row r="20" spans="1:61" ht="15" x14ac:dyDescent="0.25">
      <c r="A20" s="163"/>
      <c r="B20" s="163"/>
      <c r="C20" s="14"/>
      <c r="D20" s="14"/>
      <c r="E20" s="14"/>
      <c r="F20" s="14"/>
      <c r="G20" s="14"/>
      <c r="H20" s="14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</row>
    <row r="21" spans="1:61" x14ac:dyDescent="0.2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</row>
    <row r="22" spans="1:61" x14ac:dyDescent="0.2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163"/>
      <c r="BE22" s="163"/>
      <c r="BF22" s="163"/>
      <c r="BG22" s="163"/>
      <c r="BH22" s="163"/>
      <c r="BI22" s="163"/>
    </row>
    <row r="23" spans="1:61" x14ac:dyDescent="0.2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</row>
    <row r="24" spans="1:61" x14ac:dyDescent="0.2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</row>
    <row r="25" spans="1:61" x14ac:dyDescent="0.2">
      <c r="A25" s="163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</row>
    <row r="26" spans="1:61" x14ac:dyDescent="0.2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  <c r="BB26" s="163"/>
      <c r="BC26" s="163"/>
      <c r="BD26" s="163"/>
      <c r="BE26" s="163"/>
      <c r="BF26" s="163"/>
      <c r="BG26" s="163"/>
      <c r="BH26" s="163"/>
      <c r="BI26" s="163"/>
    </row>
    <row r="27" spans="1:6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3"/>
      <c r="BH27" s="163"/>
      <c r="BI27" s="163"/>
    </row>
    <row r="28" spans="1:6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</row>
    <row r="29" spans="1:6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</row>
    <row r="30" spans="1:6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3"/>
      <c r="BD30" s="163"/>
      <c r="BE30" s="163"/>
      <c r="BF30" s="163"/>
      <c r="BG30" s="163"/>
      <c r="BH30" s="163"/>
      <c r="BI30" s="163"/>
    </row>
    <row r="31" spans="1:6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3"/>
      <c r="BG31" s="163"/>
      <c r="BH31" s="163"/>
      <c r="BI31" s="163"/>
    </row>
    <row r="32" spans="1:6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3"/>
      <c r="BG32" s="163"/>
      <c r="BH32" s="163"/>
      <c r="BI32" s="163"/>
    </row>
    <row r="33" spans="1:6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C33" s="163"/>
      <c r="BD33" s="163"/>
      <c r="BE33" s="163"/>
      <c r="BF33" s="163"/>
      <c r="BG33" s="163"/>
      <c r="BH33" s="163"/>
      <c r="BI33" s="163"/>
    </row>
    <row r="34" spans="1:6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  <c r="BB34" s="163"/>
      <c r="BC34" s="163"/>
      <c r="BD34" s="163"/>
      <c r="BE34" s="163"/>
      <c r="BF34" s="163"/>
      <c r="BG34" s="163"/>
      <c r="BH34" s="163"/>
      <c r="BI34" s="163"/>
    </row>
    <row r="35" spans="1:6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  <c r="BB35" s="163"/>
      <c r="BC35" s="163"/>
      <c r="BD35" s="163"/>
      <c r="BE35" s="163"/>
      <c r="BF35" s="163"/>
      <c r="BG35" s="163"/>
      <c r="BH35" s="163"/>
      <c r="BI35" s="163"/>
    </row>
    <row r="36" spans="1:6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  <c r="BC36" s="163"/>
      <c r="BD36" s="163"/>
      <c r="BE36" s="163"/>
      <c r="BF36" s="163"/>
      <c r="BG36" s="163"/>
      <c r="BH36" s="163"/>
      <c r="BI36" s="163"/>
    </row>
    <row r="37" spans="1:6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  <c r="BB37" s="163"/>
      <c r="BC37" s="163"/>
      <c r="BD37" s="163"/>
      <c r="BE37" s="163"/>
      <c r="BF37" s="163"/>
      <c r="BG37" s="163"/>
      <c r="BH37" s="163"/>
      <c r="BI37" s="163"/>
    </row>
    <row r="38" spans="1:6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  <c r="BB38" s="163"/>
      <c r="BC38" s="163"/>
      <c r="BD38" s="163"/>
      <c r="BE38" s="163"/>
      <c r="BF38" s="163"/>
      <c r="BG38" s="163"/>
      <c r="BH38" s="163"/>
      <c r="BI38" s="163"/>
    </row>
    <row r="39" spans="1:6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</row>
    <row r="40" spans="1:6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3"/>
      <c r="BD40" s="163"/>
      <c r="BE40" s="163"/>
      <c r="BF40" s="163"/>
      <c r="BG40" s="163"/>
      <c r="BH40" s="163"/>
      <c r="BI40" s="163"/>
    </row>
    <row r="41" spans="1:6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  <c r="BB41" s="163"/>
      <c r="BC41" s="163"/>
      <c r="BD41" s="163"/>
      <c r="BE41" s="163"/>
      <c r="BF41" s="163"/>
      <c r="BG41" s="163"/>
      <c r="BH41" s="163"/>
      <c r="BI41" s="163"/>
    </row>
    <row r="42" spans="1:6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3"/>
      <c r="BD42" s="163"/>
      <c r="BE42" s="163"/>
      <c r="BF42" s="163"/>
      <c r="BG42" s="163"/>
      <c r="BH42" s="163"/>
      <c r="BI42" s="163"/>
    </row>
    <row r="43" spans="1:6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3"/>
      <c r="BD43" s="163"/>
      <c r="BE43" s="163"/>
      <c r="BF43" s="163"/>
      <c r="BG43" s="163"/>
      <c r="BH43" s="163"/>
      <c r="BI43" s="163"/>
    </row>
    <row r="44" spans="1:6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  <c r="BB44" s="163"/>
      <c r="BC44" s="163"/>
      <c r="BD44" s="163"/>
      <c r="BE44" s="163"/>
      <c r="BF44" s="163"/>
      <c r="BG44" s="163"/>
      <c r="BH44" s="163"/>
      <c r="BI44" s="163"/>
    </row>
    <row r="45" spans="1:6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3"/>
      <c r="AL45" s="163"/>
      <c r="AM45" s="163"/>
      <c r="AN45" s="163"/>
      <c r="AO45" s="163"/>
      <c r="AP45" s="163"/>
      <c r="AQ45" s="163"/>
      <c r="AR45" s="163"/>
      <c r="AS45" s="163"/>
      <c r="AT45" s="163"/>
      <c r="AU45" s="163"/>
      <c r="AV45" s="163"/>
      <c r="AW45" s="163"/>
      <c r="AX45" s="163"/>
      <c r="AY45" s="163"/>
      <c r="AZ45" s="163"/>
      <c r="BA45" s="163"/>
      <c r="BB45" s="163"/>
      <c r="BC45" s="163"/>
      <c r="BD45" s="163"/>
      <c r="BE45" s="163"/>
      <c r="BF45" s="163"/>
      <c r="BG45" s="163"/>
      <c r="BH45" s="163"/>
      <c r="BI45" s="163"/>
    </row>
    <row r="46" spans="1:6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  <c r="BB46" s="163"/>
      <c r="BC46" s="163"/>
      <c r="BD46" s="163"/>
      <c r="BE46" s="163"/>
      <c r="BF46" s="163"/>
      <c r="BG46" s="163"/>
      <c r="BH46" s="163"/>
      <c r="BI46" s="163"/>
    </row>
    <row r="47" spans="1:6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  <c r="BB47" s="163"/>
      <c r="BC47" s="163"/>
      <c r="BD47" s="163"/>
      <c r="BE47" s="163"/>
      <c r="BF47" s="163"/>
      <c r="BG47" s="163"/>
      <c r="BH47" s="163"/>
      <c r="BI47" s="163"/>
    </row>
    <row r="48" spans="1:6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  <c r="AO48" s="163"/>
      <c r="AP48" s="163"/>
      <c r="AQ48" s="163"/>
      <c r="AR48" s="163"/>
      <c r="AS48" s="163"/>
      <c r="AT48" s="163"/>
      <c r="AU48" s="163"/>
      <c r="AV48" s="163"/>
      <c r="AW48" s="163"/>
      <c r="AX48" s="163"/>
      <c r="AY48" s="163"/>
      <c r="AZ48" s="163"/>
      <c r="BA48" s="163"/>
      <c r="BB48" s="163"/>
      <c r="BC48" s="163"/>
      <c r="BD48" s="163"/>
      <c r="BE48" s="163"/>
      <c r="BF48" s="163"/>
      <c r="BG48" s="163"/>
      <c r="BH48" s="163"/>
      <c r="BI48" s="163"/>
    </row>
    <row r="49" spans="1:25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</row>
    <row r="50" spans="1:25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</row>
  </sheetData>
  <dataValidations count="1">
    <dataValidation type="list" allowBlank="1" showInputMessage="1" showErrorMessage="1" sqref="B5" xr:uid="{3A326A52-03CA-485E-BF5D-A4909B4F22A5}">
      <formula1>"AED, USD"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55B9-69DF-4BD5-9234-10549B0E832D}">
  <dimension ref="A1:S26"/>
  <sheetViews>
    <sheetView showGridLines="0" workbookViewId="0">
      <pane xSplit="2" ySplit="6" topLeftCell="C7" activePane="bottomRight" state="frozen"/>
      <selection pane="topRight" activeCell="P28" sqref="P28"/>
      <selection pane="bottomLeft" activeCell="P28" sqref="P28"/>
      <selection pane="bottomRight" activeCell="L15" sqref="L15"/>
    </sheetView>
  </sheetViews>
  <sheetFormatPr defaultColWidth="9.140625" defaultRowHeight="12.75" x14ac:dyDescent="0.2"/>
  <cols>
    <col min="1" max="1" width="9.140625" style="20"/>
    <col min="2" max="2" width="38.42578125" style="20" customWidth="1"/>
    <col min="3" max="3" width="18.140625" style="20" customWidth="1"/>
    <col min="4" max="6" width="13.28515625" style="20" bestFit="1" customWidth="1"/>
    <col min="7" max="7" width="13.28515625" style="20" customWidth="1"/>
    <col min="8" max="8" width="12.140625" style="20" customWidth="1"/>
    <col min="9" max="11" width="12.7109375" style="20" bestFit="1" customWidth="1"/>
    <col min="12" max="12" width="12.7109375" style="20" customWidth="1"/>
    <col min="13" max="14" width="12.7109375" style="20" bestFit="1" customWidth="1"/>
    <col min="15" max="15" width="13.28515625" style="20" customWidth="1"/>
    <col min="16" max="16384" width="9.140625" style="20"/>
  </cols>
  <sheetData>
    <row r="1" spans="1:19" x14ac:dyDescent="0.2">
      <c r="A1" s="162">
        <f>'2023 IR Data Book'!$A$5</f>
        <v>0.27228666339922669</v>
      </c>
    </row>
    <row r="2" spans="1:19" x14ac:dyDescent="0.2">
      <c r="A2" s="162"/>
    </row>
    <row r="3" spans="1:19" ht="15" x14ac:dyDescent="0.25">
      <c r="B3" s="64"/>
    </row>
    <row r="4" spans="1:19" x14ac:dyDescent="0.2">
      <c r="B4" s="66" t="s">
        <v>285</v>
      </c>
      <c r="C4" s="66"/>
      <c r="D4" s="67"/>
      <c r="E4" s="66"/>
      <c r="F4" s="66"/>
      <c r="G4" s="66"/>
      <c r="H4" s="66"/>
      <c r="I4" s="67"/>
      <c r="J4" s="67"/>
      <c r="K4" s="67"/>
      <c r="L4" s="67"/>
      <c r="M4" s="67"/>
      <c r="N4" s="67"/>
      <c r="O4" s="241" t="s">
        <v>19</v>
      </c>
      <c r="P4" s="241"/>
    </row>
    <row r="5" spans="1:19" x14ac:dyDescent="0.2">
      <c r="B5" s="132"/>
      <c r="C5" s="68" t="s">
        <v>20</v>
      </c>
      <c r="D5" s="68" t="s">
        <v>21</v>
      </c>
      <c r="E5" s="68" t="s">
        <v>22</v>
      </c>
      <c r="F5" s="68" t="s">
        <v>23</v>
      </c>
      <c r="G5" s="68">
        <v>2021</v>
      </c>
      <c r="H5" s="68" t="s">
        <v>25</v>
      </c>
      <c r="I5" s="68" t="s">
        <v>26</v>
      </c>
      <c r="J5" s="68" t="s">
        <v>260</v>
      </c>
      <c r="K5" s="68" t="s">
        <v>274</v>
      </c>
      <c r="L5" s="68">
        <v>2022</v>
      </c>
      <c r="M5" s="68" t="s">
        <v>281</v>
      </c>
      <c r="N5" s="68" t="s">
        <v>297</v>
      </c>
      <c r="O5" s="68" t="str">
        <f>+'Aramex Courier'!O5</f>
        <v>Q2 23 vs Q2 22</v>
      </c>
      <c r="P5" s="68" t="s">
        <v>27</v>
      </c>
    </row>
    <row r="6" spans="1:19" x14ac:dyDescent="0.2"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</row>
    <row r="7" spans="1:19" x14ac:dyDescent="0.2">
      <c r="B7" s="195" t="s">
        <v>173</v>
      </c>
      <c r="C7" s="184">
        <f>104585.74155785*('2023 IR Data Book'!$A$5)</f>
        <v>28477.302607920814</v>
      </c>
      <c r="D7" s="184">
        <f>108808.981524708*('2023 IR Data Book'!$A$5)</f>
        <v>29627.234527230841</v>
      </c>
      <c r="E7" s="184">
        <f>108445.010175879*('2023 IR Data Book'!$A$5)</f>
        <v>29528.129983085277</v>
      </c>
      <c r="F7" s="184">
        <f>113016.407797778*('2023 IR Data Book'!$A$5)</f>
        <v>30772.860588623316</v>
      </c>
      <c r="G7" s="184">
        <f>SUM(C7:F7)</f>
        <v>118405.52770686024</v>
      </c>
      <c r="H7" s="184">
        <f>112105.259668336*('2023 IR Data Book'!$A$5)</f>
        <v>30524.76710459511</v>
      </c>
      <c r="I7" s="184">
        <f>111756.154186905*('2023 IR Data Book'!$A$5)</f>
        <v>30429.710337881879</v>
      </c>
      <c r="J7" s="184">
        <f>110474.513920355*(('2023 IR Data Book'!$A$5))</f>
        <v>30080.736786024889</v>
      </c>
      <c r="K7" s="184">
        <f>110958.438357582*(('2023 IR Data Book'!$A$5))</f>
        <v>30212.502956374774</v>
      </c>
      <c r="L7" s="184">
        <f>SUM(H7:K7)</f>
        <v>121247.71718487664</v>
      </c>
      <c r="M7" s="184">
        <f>107043.899568076*('2023 IR Data Book'!$A$5)</f>
        <v>29146.626250633337</v>
      </c>
      <c r="N7" s="184">
        <f>106216.528820156*('2023 IR Data Book'!$A$5)</f>
        <v>28921.344230288079</v>
      </c>
      <c r="O7" s="185">
        <f>(N7-I7)</f>
        <v>-1508.3661075937998</v>
      </c>
      <c r="P7" s="186">
        <f>O7/I7</f>
        <v>-4.9568861840792428E-2</v>
      </c>
      <c r="S7" s="232"/>
    </row>
    <row r="8" spans="1:19" x14ac:dyDescent="0.2">
      <c r="B8" s="196" t="s">
        <v>176</v>
      </c>
      <c r="C8" s="187">
        <f>86553.9529170147*('2023 IR Data Book'!$A$5)</f>
        <v>23567.487043787696</v>
      </c>
      <c r="D8" s="187">
        <f>101894.161962373*('2023 IR Data Book'!$A$5)</f>
        <v>27744.421380594944</v>
      </c>
      <c r="E8" s="187">
        <f>94777.1994902576*('2023 IR Data Book'!$A$5)</f>
        <v>25806.567415525129</v>
      </c>
      <c r="F8" s="187">
        <f>109153.581456482*('2023 IR Data Book'!$A$5)</f>
        <v>29721.064492861187</v>
      </c>
      <c r="G8" s="187">
        <f>SUM(C8:F8)</f>
        <v>106839.54033276896</v>
      </c>
      <c r="H8" s="187">
        <f>98933.9658703533*('2023 IR Data Book'!$A$5)</f>
        <v>26938.399463691472</v>
      </c>
      <c r="I8" s="187">
        <f>83311.6154577578*('2023 IR Data Book'!$A$5)</f>
        <v>22684.641795392308</v>
      </c>
      <c r="J8" s="187">
        <f>(101858.873435182-91.1288848676697)*(('2023 IR Data Book'!$A$5))</f>
        <v>27709.999605269928</v>
      </c>
      <c r="K8" s="187">
        <f>94262.2586567196*(('2023 IR Data Book'!$A$5))</f>
        <v>25666.35589411305</v>
      </c>
      <c r="L8" s="187">
        <f>SUM(H8:K8)</f>
        <v>102999.39675846676</v>
      </c>
      <c r="M8" s="187">
        <f>90841.2760854907*('2023 IR Data Book'!$A$5)</f>
        <v>24734.867964246227</v>
      </c>
      <c r="N8" s="187">
        <f>89919.086671638*('2023 IR Data Book'!$A$5)</f>
        <v>24483.768085726188</v>
      </c>
      <c r="O8" s="188">
        <f>(N8-I8)</f>
        <v>1799.1262903338793</v>
      </c>
      <c r="P8" s="189">
        <f>O8/I8</f>
        <v>7.9310323987541065E-2</v>
      </c>
      <c r="S8" s="232"/>
    </row>
    <row r="9" spans="1:19" x14ac:dyDescent="0.2">
      <c r="B9" s="195" t="s">
        <v>177</v>
      </c>
      <c r="C9" s="184">
        <f t="shared" ref="C9:I9" si="0">C7-C8</f>
        <v>4909.8155641331177</v>
      </c>
      <c r="D9" s="184">
        <f t="shared" si="0"/>
        <v>1882.8131466358973</v>
      </c>
      <c r="E9" s="184">
        <f t="shared" si="0"/>
        <v>3721.5625675601477</v>
      </c>
      <c r="F9" s="184">
        <f t="shared" si="0"/>
        <v>1051.796095762129</v>
      </c>
      <c r="G9" s="184">
        <f t="shared" si="0"/>
        <v>11565.987374091288</v>
      </c>
      <c r="H9" s="184">
        <f t="shared" si="0"/>
        <v>3586.3676409036379</v>
      </c>
      <c r="I9" s="184">
        <f t="shared" si="0"/>
        <v>7745.068542489571</v>
      </c>
      <c r="J9" s="184">
        <f t="shared" ref="J9:L9" si="1">J7-J8</f>
        <v>2370.7371807549607</v>
      </c>
      <c r="K9" s="184">
        <f t="shared" si="1"/>
        <v>4546.1470622617235</v>
      </c>
      <c r="L9" s="184">
        <f t="shared" si="1"/>
        <v>18248.320426409889</v>
      </c>
      <c r="M9" s="184">
        <f t="shared" ref="M9:N9" si="2">M7-M8</f>
        <v>4411.7582863871103</v>
      </c>
      <c r="N9" s="184">
        <f t="shared" si="2"/>
        <v>4437.5761445618919</v>
      </c>
      <c r="O9" s="197">
        <f>(N9-I9)</f>
        <v>-3307.4923979276791</v>
      </c>
      <c r="P9" s="186">
        <f>O9/I9</f>
        <v>-0.42704494863831383</v>
      </c>
      <c r="S9" s="232"/>
    </row>
    <row r="10" spans="1:19" x14ac:dyDescent="0.2">
      <c r="B10" s="198" t="s">
        <v>178</v>
      </c>
      <c r="C10" s="190">
        <f t="shared" ref="C10:I10" si="3">C9/C7</f>
        <v>0.17241153882206098</v>
      </c>
      <c r="D10" s="190">
        <f t="shared" si="3"/>
        <v>6.3550080751052729E-2</v>
      </c>
      <c r="E10" s="190">
        <f t="shared" si="3"/>
        <v>0.12603448202415751</v>
      </c>
      <c r="F10" s="190">
        <f t="shared" si="3"/>
        <v>3.4179341005138031E-2</v>
      </c>
      <c r="G10" s="190">
        <f t="shared" si="3"/>
        <v>9.7681143761510145E-2</v>
      </c>
      <c r="H10" s="190">
        <f t="shared" si="3"/>
        <v>0.11749041781759431</v>
      </c>
      <c r="I10" s="190">
        <f t="shared" si="3"/>
        <v>0.25452324246569485</v>
      </c>
      <c r="J10" s="190">
        <f t="shared" ref="J10:L10" si="4">J9/J7</f>
        <v>7.8812470506253479E-2</v>
      </c>
      <c r="K10" s="190">
        <f t="shared" si="4"/>
        <v>0.15047237459359508</v>
      </c>
      <c r="L10" s="190">
        <f t="shared" si="4"/>
        <v>0.15050444536275379</v>
      </c>
      <c r="M10" s="190">
        <f t="shared" ref="M10:N10" si="5">M9/M7</f>
        <v>0.15136428650267011</v>
      </c>
      <c r="N10" s="190">
        <f t="shared" si="5"/>
        <v>0.15343602666692821</v>
      </c>
      <c r="O10" s="190"/>
      <c r="P10" s="190"/>
    </row>
    <row r="11" spans="1:19" x14ac:dyDescent="0.2">
      <c r="B11" s="199" t="s">
        <v>179</v>
      </c>
      <c r="C11" s="191">
        <f>14151.3708617567*('2023 IR Data Book'!$A$5)</f>
        <v>3853.2295544727713</v>
      </c>
      <c r="D11" s="191">
        <f>12503.673217457*('2023 IR Data Book'!$A$5)</f>
        <v>3404.58346061564</v>
      </c>
      <c r="E11" s="191">
        <f>13033.4885961757*('2023 IR Data Book'!$A$5)</f>
        <v>3548.8451223045527</v>
      </c>
      <c r="F11" s="191">
        <f>13511.0129796056*('2023 IR Data Book'!$A$5)</f>
        <v>3678.868643360453</v>
      </c>
      <c r="G11" s="191">
        <f>SUM(C11:F11)</f>
        <v>14485.526780753416</v>
      </c>
      <c r="H11" s="191">
        <f>12489.5278782531*('2023 IR Data Book'!$A$5)</f>
        <v>3400.7318734011601</v>
      </c>
      <c r="I11" s="191">
        <f>17395.7046626744*('2023 IR Data Book'!$A$5)</f>
        <v>4736.6183800779827</v>
      </c>
      <c r="J11" s="191">
        <f>14720.6013629062*(('2023 IR Data Book'!$A$5))</f>
        <v>4008.223428335838</v>
      </c>
      <c r="K11" s="191">
        <f>14429.1289717175*(('2023 IR Data Book'!$A$5))</f>
        <v>3928.8593834660728</v>
      </c>
      <c r="L11" s="191">
        <f>SUM(H11:K11)</f>
        <v>16074.433065281053</v>
      </c>
      <c r="M11" s="191">
        <f>14148.1474994704*('2023 IR Data Book'!$A$5)</f>
        <v>3852.3518759109079</v>
      </c>
      <c r="N11" s="191">
        <f>14570.8481606643*('2023 IR Data Book'!$A$5)</f>
        <v>3967.4476285640417</v>
      </c>
      <c r="O11" s="192">
        <f>(N11-I11)</f>
        <v>-769.17075151394101</v>
      </c>
      <c r="P11" s="189">
        <f>O11/I11</f>
        <v>-0.16238816172082615</v>
      </c>
      <c r="S11" s="232"/>
    </row>
    <row r="12" spans="1:19" x14ac:dyDescent="0.2">
      <c r="B12" s="200" t="s">
        <v>180</v>
      </c>
      <c r="C12" s="193">
        <f>5702.3992194531*('2023 IR Data Book'!$A$5)</f>
        <v>1552.6872568352394</v>
      </c>
      <c r="D12" s="193">
        <f>-5088.39048845237*('2023 IR Data Book'!$A$5)</f>
        <v>-1385.5008681730571</v>
      </c>
      <c r="E12" s="193">
        <f>5816.40331765882*('2023 IR Data Book'!$A$5)</f>
        <v>1583.7290523495126</v>
      </c>
      <c r="F12" s="193">
        <f>15858.7549284546*('2023 IR Data Book'!$A$5)</f>
        <v>4318.1274651349449</v>
      </c>
      <c r="G12" s="193">
        <f>SUM(C12:F12)</f>
        <v>6069.0429061466402</v>
      </c>
      <c r="H12" s="193">
        <f>5792.25311649132*('2023 IR Data Book'!$A$5)</f>
        <v>1577.1532746531939</v>
      </c>
      <c r="I12" s="193">
        <f>5179.84324275896*('2023 IR Data Book'!$A$5)</f>
        <v>1410.4022335018676</v>
      </c>
      <c r="J12" s="193">
        <f>(-6206.96170339434--92.3753120947572)*(('2023 IR Data Book'!$A$5))</f>
        <v>-1664.9203265532815</v>
      </c>
      <c r="K12" s="193">
        <f>2370.47325971081*(('2023 IR Data Book'!$A$5))</f>
        <v>645.44825456374497</v>
      </c>
      <c r="L12" s="193">
        <f>SUM(H12:K12)</f>
        <v>1968.083436165525</v>
      </c>
      <c r="M12" s="193">
        <f>2150.14946247002*('2023 IR Data Book'!$A$5)</f>
        <v>585.45702294560249</v>
      </c>
      <c r="N12" s="193">
        <f>1381.98113750065*('2023 IR Data Book'!$A$5)</f>
        <v>376.29503281071993</v>
      </c>
      <c r="O12" s="193">
        <f>(N12-I12)</f>
        <v>-1034.1072006911477</v>
      </c>
      <c r="P12" s="194">
        <f>O12/I12</f>
        <v>-0.7332002007140741</v>
      </c>
      <c r="S12" s="28"/>
    </row>
    <row r="13" spans="1:19" x14ac:dyDescent="0.2">
      <c r="B13" s="201" t="s">
        <v>181</v>
      </c>
      <c r="C13" s="190">
        <f t="shared" ref="C13:I13" si="6">C12/C7</f>
        <v>5.4523677267220086E-2</v>
      </c>
      <c r="D13" s="190">
        <f t="shared" si="6"/>
        <v>-4.6764434490152031E-2</v>
      </c>
      <c r="E13" s="190">
        <f t="shared" si="6"/>
        <v>5.3634586858589649E-2</v>
      </c>
      <c r="F13" s="190">
        <f t="shared" si="6"/>
        <v>0.14032258888311966</v>
      </c>
      <c r="G13" s="190">
        <f t="shared" si="6"/>
        <v>5.1256415335371279E-2</v>
      </c>
      <c r="H13" s="190">
        <f t="shared" si="6"/>
        <v>5.1667987154462969E-2</v>
      </c>
      <c r="I13" s="190">
        <f t="shared" si="6"/>
        <v>4.634951229706781E-2</v>
      </c>
      <c r="J13" s="190">
        <f t="shared" ref="J13:L13" si="7">J12/J7</f>
        <v>-5.5348389183298909E-2</v>
      </c>
      <c r="K13" s="190">
        <f t="shared" si="7"/>
        <v>2.1363614113525699E-2</v>
      </c>
      <c r="L13" s="190">
        <f t="shared" si="7"/>
        <v>1.6231921572301619E-2</v>
      </c>
      <c r="M13" s="190">
        <f t="shared" ref="M13:N13" si="8">M12/M7</f>
        <v>2.0086613727133544E-2</v>
      </c>
      <c r="N13" s="190">
        <f t="shared" si="8"/>
        <v>1.3010980050389302E-2</v>
      </c>
      <c r="O13" s="190"/>
      <c r="P13" s="190"/>
    </row>
    <row r="14" spans="1:19" x14ac:dyDescent="0.2">
      <c r="B14" s="200" t="s">
        <v>182</v>
      </c>
      <c r="C14" s="193">
        <f>25987.4230939523*('2023 IR Data Book'!$A$5)</f>
        <v>7076.02872459628</v>
      </c>
      <c r="D14" s="193">
        <f>17185.0201260158*('2023 IR Data Book'!$A$5)</f>
        <v>4679.2517905614004</v>
      </c>
      <c r="E14" s="193">
        <f>28918.9802275479*('2023 IR Data Book'!$A$5)</f>
        <v>7874.2526350672279</v>
      </c>
      <c r="F14" s="193">
        <f>38201.4024157444*('2023 IR Data Book'!$A$5)</f>
        <v>10401.732400954201</v>
      </c>
      <c r="G14" s="193">
        <f>SUM(C14:F14)</f>
        <v>30031.265551179109</v>
      </c>
      <c r="H14" s="193">
        <f>28762.0029383276*('2023 IR Data Book'!$A$5)</f>
        <v>7831.5098127559768</v>
      </c>
      <c r="I14" s="193">
        <f>26975.4387801771*('2023 IR Data Book'!$A$5)</f>
        <v>7345.0522191845284</v>
      </c>
      <c r="J14" s="193">
        <f>(14985.8032363457+92.0501665966851)*(('2023 IR Data Book'!$A$5))</f>
        <v>4105.4983943098587</v>
      </c>
      <c r="K14" s="193">
        <f>24392.0568135464*(('2023 IR Data Book'!$A$5))</f>
        <v>6641.6317632049222</v>
      </c>
      <c r="L14" s="193">
        <f>SUM(H14:K14)</f>
        <v>25923.692189455287</v>
      </c>
      <c r="M14" s="193">
        <f>24888.5034405447*('2023 IR Data Book'!$A$5)</f>
        <v>6776.8075588260899</v>
      </c>
      <c r="N14" s="193">
        <f>23769.0877004912*('2023 IR Data Book'!$A$5)</f>
        <v>6472.0055820103462</v>
      </c>
      <c r="O14" s="193">
        <f>(N14-I14)</f>
        <v>-873.04663717418225</v>
      </c>
      <c r="P14" s="194">
        <f>O14/I14</f>
        <v>-0.11886186934027144</v>
      </c>
      <c r="S14" s="28"/>
    </row>
    <row r="15" spans="1:19" x14ac:dyDescent="0.2">
      <c r="B15" s="201" t="s">
        <v>183</v>
      </c>
      <c r="C15" s="190">
        <f t="shared" ref="C15:I15" si="9">C14/C7</f>
        <v>0.24847959871831818</v>
      </c>
      <c r="D15" s="190">
        <f t="shared" si="9"/>
        <v>0.15793751476401313</v>
      </c>
      <c r="E15" s="190">
        <f t="shared" si="9"/>
        <v>0.26666953307161234</v>
      </c>
      <c r="F15" s="190">
        <f t="shared" si="9"/>
        <v>0.33801642752704331</v>
      </c>
      <c r="G15" s="190">
        <f t="shared" si="9"/>
        <v>0.25363060435428592</v>
      </c>
      <c r="H15" s="190">
        <f t="shared" si="9"/>
        <v>0.25656247551114136</v>
      </c>
      <c r="I15" s="190">
        <f t="shared" si="9"/>
        <v>0.24137765813829287</v>
      </c>
      <c r="J15" s="190">
        <f t="shared" ref="J15:L15" si="10">J14/J7</f>
        <v>0.1364826408180673</v>
      </c>
      <c r="K15" s="190">
        <f t="shared" si="10"/>
        <v>0.21983057056858482</v>
      </c>
      <c r="L15" s="190">
        <f t="shared" si="10"/>
        <v>0.21380767235334619</v>
      </c>
      <c r="M15" s="190">
        <f t="shared" ref="M15:N15" si="11">M14/M7</f>
        <v>0.23250744359062259</v>
      </c>
      <c r="N15" s="190">
        <f t="shared" si="11"/>
        <v>0.22377955638840927</v>
      </c>
    </row>
    <row r="19" spans="3:5" x14ac:dyDescent="0.2">
      <c r="E19" s="28"/>
    </row>
    <row r="21" spans="3:5" x14ac:dyDescent="0.2">
      <c r="E21" s="28"/>
    </row>
    <row r="22" spans="3:5" x14ac:dyDescent="0.2">
      <c r="C22" s="28"/>
    </row>
    <row r="26" spans="3:5" x14ac:dyDescent="0.2">
      <c r="E26" s="232"/>
    </row>
  </sheetData>
  <mergeCells count="1">
    <mergeCell ref="O4:P4"/>
  </mergeCells>
  <pageMargins left="0.7" right="0.7" top="0.75" bottom="0.75" header="0.3" footer="0.3"/>
  <pageSetup paperSize="9" orientation="portrait" r:id="rId1"/>
  <ignoredErrors>
    <ignoredError sqref="G13 L13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41D16-02DC-4DFE-AC93-0F17B5F0735F}">
  <dimension ref="A1:Q218"/>
  <sheetViews>
    <sheetView showGridLines="0" workbookViewId="0">
      <selection activeCell="F210" sqref="F210"/>
    </sheetView>
  </sheetViews>
  <sheetFormatPr defaultColWidth="9.140625" defaultRowHeight="12.75" x14ac:dyDescent="0.2"/>
  <cols>
    <col min="1" max="1" width="3.28515625" style="20" customWidth="1"/>
    <col min="2" max="2" width="37.28515625" style="20" bestFit="1" customWidth="1"/>
    <col min="3" max="3" width="15" style="20" customWidth="1"/>
    <col min="4" max="4" width="8.5703125" style="20" bestFit="1" customWidth="1"/>
    <col min="5" max="5" width="13.5703125" style="20" bestFit="1" customWidth="1"/>
    <col min="6" max="6" width="17.42578125" style="20" bestFit="1" customWidth="1"/>
    <col min="7" max="7" width="10.5703125" style="28" bestFit="1" customWidth="1"/>
    <col min="8" max="8" width="10.5703125" style="20" bestFit="1" customWidth="1"/>
    <col min="9" max="9" width="9.28515625" style="20" bestFit="1" customWidth="1"/>
    <col min="10" max="10" width="9.28515625" style="20" customWidth="1"/>
    <col min="11" max="11" width="37.28515625" style="20" customWidth="1"/>
    <col min="12" max="12" width="15.5703125" style="20" customWidth="1"/>
    <col min="13" max="13" width="6.5703125" style="20" bestFit="1" customWidth="1"/>
    <col min="14" max="14" width="13.5703125" style="20" customWidth="1"/>
    <col min="15" max="15" width="11" style="20" customWidth="1"/>
    <col min="16" max="16" width="10.5703125" style="28" customWidth="1"/>
    <col min="17" max="17" width="11" style="20" customWidth="1"/>
    <col min="18" max="16384" width="9.140625" style="20"/>
  </cols>
  <sheetData>
    <row r="1" spans="1:17" x14ac:dyDescent="0.2">
      <c r="A1" s="162">
        <f>'2023 IR Data Book'!$A$5</f>
        <v>0.27228666339922669</v>
      </c>
    </row>
    <row r="2" spans="1:17" x14ac:dyDescent="0.2">
      <c r="B2" s="65" t="s">
        <v>191</v>
      </c>
      <c r="C2" s="2"/>
      <c r="I2" s="151"/>
      <c r="K2" s="65" t="s">
        <v>191</v>
      </c>
    </row>
    <row r="3" spans="1:17" x14ac:dyDescent="0.2">
      <c r="B3" s="52" t="s">
        <v>299</v>
      </c>
      <c r="G3" s="211"/>
      <c r="I3" s="151"/>
      <c r="K3" s="52" t="s">
        <v>303</v>
      </c>
    </row>
    <row r="4" spans="1:17" x14ac:dyDescent="0.2">
      <c r="B4" s="44" t="s">
        <v>295</v>
      </c>
      <c r="I4" s="151"/>
      <c r="K4" s="44" t="s">
        <v>202</v>
      </c>
    </row>
    <row r="5" spans="1:17" x14ac:dyDescent="0.2">
      <c r="C5" s="149" t="s">
        <v>203</v>
      </c>
      <c r="D5" s="133"/>
      <c r="E5" s="149" t="s">
        <v>203</v>
      </c>
      <c r="I5" s="151"/>
      <c r="L5" s="149" t="s">
        <v>203</v>
      </c>
      <c r="M5" s="133"/>
      <c r="N5" s="149" t="s">
        <v>203</v>
      </c>
    </row>
    <row r="6" spans="1:17" x14ac:dyDescent="0.2">
      <c r="B6" s="134"/>
      <c r="C6" s="149" t="s">
        <v>298</v>
      </c>
      <c r="D6" s="133"/>
      <c r="E6" s="149" t="s">
        <v>69</v>
      </c>
      <c r="G6" s="170" t="s">
        <v>204</v>
      </c>
      <c r="H6" s="149" t="s">
        <v>27</v>
      </c>
      <c r="I6" s="151"/>
      <c r="K6" s="134"/>
      <c r="L6" s="149" t="s">
        <v>301</v>
      </c>
      <c r="M6" s="133"/>
      <c r="N6" s="149" t="s">
        <v>302</v>
      </c>
      <c r="P6" s="170" t="s">
        <v>204</v>
      </c>
      <c r="Q6" s="149" t="s">
        <v>27</v>
      </c>
    </row>
    <row r="7" spans="1:17" ht="6.75" customHeight="1" x14ac:dyDescent="0.2">
      <c r="H7" s="135"/>
      <c r="I7" s="151"/>
      <c r="Q7" s="135"/>
    </row>
    <row r="8" spans="1:17" x14ac:dyDescent="0.2">
      <c r="B8" s="20" t="s">
        <v>205</v>
      </c>
      <c r="C8" s="80">
        <f>43421.8990042581*(('2023 IR Data Book'!$A$5))</f>
        <v>11823.203998327641</v>
      </c>
      <c r="D8" s="136">
        <f>C8/$C$14</f>
        <v>0.25594673786668365</v>
      </c>
      <c r="E8" s="80">
        <f>50302.8089916639*(('2023 IR Data Book'!$A$5))</f>
        <v>13696.784019948782</v>
      </c>
      <c r="F8" s="136">
        <f>E8/$E$14</f>
        <v>0.25296781789599448</v>
      </c>
      <c r="G8" s="138">
        <f>C8-E8</f>
        <v>-1873.580021621141</v>
      </c>
      <c r="H8" s="137">
        <f>(C8/E8)-1</f>
        <v>-0.13678977626370914</v>
      </c>
      <c r="I8" s="151"/>
      <c r="K8" s="20" t="s">
        <v>205</v>
      </c>
      <c r="L8" s="80">
        <f>89095.1162594636*(('2023 IR Data Book'!$A$5))</f>
        <v>24259.411931455532</v>
      </c>
      <c r="M8" s="136">
        <f>L8/$L$14</f>
        <v>0.25914274937721449</v>
      </c>
      <c r="N8" s="80">
        <f>97912.0050747643*(('2023 IR Data Book'!$A$5))</f>
        <v>26660.133168535722</v>
      </c>
      <c r="O8" s="136">
        <f>N8/$N$14</f>
        <v>0.25213880359213497</v>
      </c>
      <c r="P8" s="138">
        <f>L8-N8</f>
        <v>-2400.7212370801899</v>
      </c>
      <c r="Q8" s="137">
        <f>(L8/N8)-1</f>
        <v>-9.004910897870233E-2</v>
      </c>
    </row>
    <row r="9" spans="1:17" x14ac:dyDescent="0.2">
      <c r="B9" s="20" t="s">
        <v>206</v>
      </c>
      <c r="C9" s="80">
        <f>39982.4611221178*(('2023 IR Data Book'!$A$5))</f>
        <v>10886.690933430757</v>
      </c>
      <c r="D9" s="136">
        <f>C9/$C$14</f>
        <v>0.23567326005442632</v>
      </c>
      <c r="E9" s="80">
        <f>43926.6708397523*(('2023 IR Data Book'!$A$5))</f>
        <v>11960.646637192262</v>
      </c>
      <c r="F9" s="136">
        <f>E9/$E$14</f>
        <v>0.22090285398593187</v>
      </c>
      <c r="G9" s="138">
        <f t="shared" ref="G9:G12" si="0">C9-E9</f>
        <v>-1073.955703761505</v>
      </c>
      <c r="H9" s="137">
        <f>(C9/E9)-1</f>
        <v>-8.9790772718088885E-2</v>
      </c>
      <c r="I9" s="151"/>
      <c r="K9" s="20" t="s">
        <v>206</v>
      </c>
      <c r="L9" s="80">
        <f>83478.9386770082*(('2023 IR Data Book'!$A$5))</f>
        <v>22730.201676471221</v>
      </c>
      <c r="M9" s="136">
        <f t="shared" ref="M9:M12" si="1">L9/$L$14</f>
        <v>0.24280749149989422</v>
      </c>
      <c r="N9" s="80">
        <f>90031.8747218314*(('2023 IR Data Book'!$A$5))</f>
        <v>24514.478767584653</v>
      </c>
      <c r="O9" s="136">
        <f t="shared" ref="O9:O12" si="2">N9/$N$14</f>
        <v>0.23184622927684637</v>
      </c>
      <c r="P9" s="138">
        <f t="shared" ref="P9:P12" si="3">L9-N9</f>
        <v>-1784.2770911134321</v>
      </c>
      <c r="Q9" s="137">
        <f>(L9/N9)-1</f>
        <v>-7.2784622835741053E-2</v>
      </c>
    </row>
    <row r="10" spans="1:17" x14ac:dyDescent="0.2">
      <c r="B10" s="20" t="s">
        <v>207</v>
      </c>
      <c r="C10" s="80">
        <f>59867.4775595544*(('2023 IR Data Book'!$A$5))</f>
        <v>16301.115710819146</v>
      </c>
      <c r="D10" s="136">
        <f>C10/$C$14</f>
        <v>0.35288381984795786</v>
      </c>
      <c r="E10" s="80">
        <f>71496.4519839392*(('2023 IR Data Book'!$A$5))</f>
        <v>19467.530355589828</v>
      </c>
      <c r="F10" s="136">
        <f>E10/$E$14</f>
        <v>0.35954853830687822</v>
      </c>
      <c r="G10" s="74">
        <f t="shared" si="0"/>
        <v>-3166.4146447706826</v>
      </c>
      <c r="H10" s="75">
        <f>(C10/E10)-1</f>
        <v>-0.16265107011180235</v>
      </c>
      <c r="I10" s="151"/>
      <c r="K10" s="20" t="s">
        <v>207</v>
      </c>
      <c r="L10" s="80">
        <f>119513.76289195*(('2023 IR Data Book'!$A$5))</f>
        <v>32542.00372813538</v>
      </c>
      <c r="M10" s="136">
        <f t="shared" si="1"/>
        <v>0.34761866199312258</v>
      </c>
      <c r="N10" s="80">
        <f>132121.857522207*(('2023 IR Data Book'!$A$5))</f>
        <v>35975.019746829763</v>
      </c>
      <c r="O10" s="136">
        <f t="shared" si="2"/>
        <v>0.34023455099895455</v>
      </c>
      <c r="P10" s="74">
        <f t="shared" si="3"/>
        <v>-3433.0160186943831</v>
      </c>
      <c r="Q10" s="75">
        <f>(L10/N10)-1</f>
        <v>-9.5427773017328521E-2</v>
      </c>
    </row>
    <row r="11" spans="1:17" x14ac:dyDescent="0.2">
      <c r="B11" s="20" t="s">
        <v>208</v>
      </c>
      <c r="C11" s="80">
        <f>22619.2028033846*(('2023 IR Data Book'!$A$5))</f>
        <v>6158.9072600840273</v>
      </c>
      <c r="D11" s="136">
        <f>C11/$C$14</f>
        <v>0.13332699175831794</v>
      </c>
      <c r="E11" s="80">
        <f>29775.1966810805*(('2023 IR Data Book'!$A$5))</f>
        <v>8107.3889563471375</v>
      </c>
      <c r="F11" s="136">
        <f>E11/$E$14</f>
        <v>0.14973649946835393</v>
      </c>
      <c r="G11" s="138">
        <f t="shared" si="0"/>
        <v>-1948.4816962631103</v>
      </c>
      <c r="H11" s="137">
        <f>(C11/E11)-1</f>
        <v>-0.24033405906073824</v>
      </c>
      <c r="I11" s="151"/>
      <c r="K11" s="20" t="s">
        <v>208</v>
      </c>
      <c r="L11" s="80">
        <f>44808.0156103416*(('2023 IR Data Book'!$A$5))</f>
        <v>12200.625064080379</v>
      </c>
      <c r="M11" s="136">
        <f t="shared" si="1"/>
        <v>0.13032894334618131</v>
      </c>
      <c r="N11" s="80">
        <f>62477.4167503422*(('2023 IR Data Book'!$A$5))</f>
        <v>17011.767344753633</v>
      </c>
      <c r="O11" s="136">
        <f t="shared" si="2"/>
        <v>0.16088916878915643</v>
      </c>
      <c r="P11" s="138">
        <f t="shared" si="3"/>
        <v>-4811.1422806732535</v>
      </c>
      <c r="Q11" s="137">
        <f>(L11/N11)-1</f>
        <v>-0.28281260748354831</v>
      </c>
    </row>
    <row r="12" spans="1:17" x14ac:dyDescent="0.2">
      <c r="B12" s="20" t="s">
        <v>209</v>
      </c>
      <c r="C12" s="80">
        <f>3761.04949698333*(('2023 IR Data Book'!$A$5))</f>
        <v>1024.0836184129307</v>
      </c>
      <c r="D12" s="136">
        <f>C12/$C$14</f>
        <v>2.21691904726142E-2</v>
      </c>
      <c r="E12" s="80">
        <f>3349.49768220894*(('2023 IR Data Book'!$A$5))</f>
        <v>912.02354795211568</v>
      </c>
      <c r="F12" s="136">
        <f>E12/$E$14</f>
        <v>1.6844290342841538E-2</v>
      </c>
      <c r="G12" s="138">
        <f t="shared" si="0"/>
        <v>112.06007046081504</v>
      </c>
      <c r="H12" s="137">
        <f>(C12/E12)-1</f>
        <v>0.12286971176614681</v>
      </c>
      <c r="I12" s="151"/>
      <c r="K12" s="20" t="s">
        <v>209</v>
      </c>
      <c r="L12" s="80">
        <f>6911.26312705478*(('2023 IR Data Book'!$A$5))</f>
        <v>1881.8447767398518</v>
      </c>
      <c r="M12" s="136">
        <f t="shared" si="1"/>
        <v>2.0102153783587456E-2</v>
      </c>
      <c r="N12" s="80">
        <f>5782.65568264887*(('2023 IR Data Book'!$A$5))</f>
        <v>1574.5400214150384</v>
      </c>
      <c r="O12" s="136">
        <f t="shared" si="2"/>
        <v>1.4891247342907676E-2</v>
      </c>
      <c r="P12" s="138">
        <f t="shared" si="3"/>
        <v>307.30475532481341</v>
      </c>
      <c r="Q12" s="137">
        <f>(L12/N12)-1</f>
        <v>0.19517113007304743</v>
      </c>
    </row>
    <row r="13" spans="1:17" x14ac:dyDescent="0.2">
      <c r="C13" s="80"/>
      <c r="D13" s="136"/>
      <c r="E13" s="80"/>
      <c r="F13" s="136"/>
      <c r="G13" s="138"/>
      <c r="H13" s="137"/>
      <c r="I13" s="151"/>
      <c r="L13" s="80"/>
      <c r="M13" s="136"/>
      <c r="N13" s="80"/>
      <c r="O13" s="136"/>
      <c r="P13" s="138"/>
      <c r="Q13" s="137"/>
    </row>
    <row r="14" spans="1:17" x14ac:dyDescent="0.2">
      <c r="B14" s="65" t="s">
        <v>210</v>
      </c>
      <c r="C14" s="81">
        <f>SUM(C8:C12)</f>
        <v>46194.001521074504</v>
      </c>
      <c r="D14" s="136">
        <f>C14/$C$14</f>
        <v>1</v>
      </c>
      <c r="E14" s="81">
        <f>SUM(E8:E12)</f>
        <v>54144.373517030122</v>
      </c>
      <c r="F14" s="136">
        <f>E14/$E$14</f>
        <v>1</v>
      </c>
      <c r="G14" s="139">
        <f>C14-E14</f>
        <v>-7950.3719959556183</v>
      </c>
      <c r="H14" s="140">
        <f>(C14/E14)-1</f>
        <v>-0.14683653128713314</v>
      </c>
      <c r="I14" s="216">
        <f>C14/$C$201</f>
        <v>0.12215387025706846</v>
      </c>
      <c r="K14" s="65" t="s">
        <v>210</v>
      </c>
      <c r="L14" s="81">
        <f>SUM(L8:L12)</f>
        <v>93614.087176882356</v>
      </c>
      <c r="M14" s="136">
        <f>L14/$L$14</f>
        <v>1</v>
      </c>
      <c r="N14" s="81">
        <f>SUM(N8:N12)</f>
        <v>105735.93904911881</v>
      </c>
      <c r="O14" s="136">
        <f>N14/$N$14</f>
        <v>1</v>
      </c>
      <c r="P14" s="139">
        <f>L14-N14</f>
        <v>-12121.851872236453</v>
      </c>
      <c r="Q14" s="140">
        <f>(L14/N14)-1</f>
        <v>-0.11464268423062229</v>
      </c>
    </row>
    <row r="15" spans="1:17" x14ac:dyDescent="0.2">
      <c r="C15" s="80"/>
      <c r="D15" s="141"/>
      <c r="E15" s="80"/>
      <c r="F15" s="141"/>
      <c r="G15" s="171"/>
      <c r="H15" s="137"/>
      <c r="I15" s="216">
        <f>E14/$E$201</f>
        <v>0.13111703883995271</v>
      </c>
      <c r="L15" s="80">
        <v>0</v>
      </c>
      <c r="M15" s="141"/>
      <c r="N15" s="80">
        <v>0</v>
      </c>
      <c r="O15" s="141"/>
      <c r="P15" s="171"/>
      <c r="Q15" s="137"/>
    </row>
    <row r="16" spans="1:17" x14ac:dyDescent="0.2">
      <c r="B16" s="65" t="s">
        <v>31</v>
      </c>
      <c r="C16" s="81">
        <f>47684.9020823468*(('2023 IR Data Book'!$A$5))</f>
        <v>12983.962882521048</v>
      </c>
      <c r="D16" s="136">
        <f>C16/$C$14</f>
        <v>0.28107465157781447</v>
      </c>
      <c r="E16" s="81">
        <f>57067.248912288*(('2023 IR Data Book'!$A$5))</f>
        <v>15538.650795700049</v>
      </c>
      <c r="F16" s="136">
        <f>E16/$E$14</f>
        <v>0.28698551273869022</v>
      </c>
      <c r="G16" s="139">
        <f>C16-E16</f>
        <v>-2554.687913179001</v>
      </c>
      <c r="H16" s="140">
        <f>(C16/E16)-1</f>
        <v>-0.16440860579001815</v>
      </c>
      <c r="I16" s="151"/>
      <c r="K16" s="65" t="s">
        <v>31</v>
      </c>
      <c r="L16" s="81">
        <f>97219.488242981*(('2023 IR Data Book'!$A$5))</f>
        <v>26471.570071061644</v>
      </c>
      <c r="M16" s="136">
        <f>L16/$L$14</f>
        <v>0.28277336103319606</v>
      </c>
      <c r="N16" s="81">
        <f>112038.451193368*(('2023 IR Data Book'!$A$5))</f>
        <v>30506.576047859282</v>
      </c>
      <c r="O16" s="136">
        <f>N16/$N$14</f>
        <v>0.2885166228455936</v>
      </c>
      <c r="P16" s="139">
        <f>L16-N16</f>
        <v>-4035.0059767976381</v>
      </c>
      <c r="Q16" s="140">
        <f>(L16/N16)-1</f>
        <v>-0.13226676013943506</v>
      </c>
    </row>
    <row r="17" spans="2:17" x14ac:dyDescent="0.2">
      <c r="B17" s="65"/>
      <c r="C17" s="240"/>
      <c r="D17" s="142"/>
      <c r="E17" s="81"/>
      <c r="F17" s="142"/>
      <c r="G17" s="172"/>
      <c r="H17" s="140"/>
      <c r="I17" s="151"/>
      <c r="K17" s="65"/>
      <c r="L17" s="81"/>
      <c r="M17" s="142"/>
      <c r="N17" s="81"/>
      <c r="O17" s="142"/>
      <c r="P17" s="172"/>
      <c r="Q17" s="140"/>
    </row>
    <row r="18" spans="2:17" x14ac:dyDescent="0.2">
      <c r="B18" s="65"/>
      <c r="C18" s="81"/>
      <c r="D18" s="142"/>
      <c r="E18" s="81"/>
      <c r="F18" s="142"/>
      <c r="G18" s="172"/>
      <c r="H18" s="140"/>
      <c r="I18" s="151"/>
      <c r="K18" s="65"/>
      <c r="L18" s="81"/>
      <c r="M18" s="142"/>
      <c r="N18" s="81"/>
      <c r="O18" s="142"/>
      <c r="P18" s="172"/>
      <c r="Q18" s="140"/>
    </row>
    <row r="19" spans="2:17" x14ac:dyDescent="0.2">
      <c r="B19" s="65" t="s">
        <v>211</v>
      </c>
      <c r="C19" s="149" t="str">
        <f>$C$6</f>
        <v>Q2'23</v>
      </c>
      <c r="D19" s="133"/>
      <c r="E19" s="149" t="str">
        <f>$E$6</f>
        <v>Q2'22</v>
      </c>
      <c r="G19" s="170" t="s">
        <v>204</v>
      </c>
      <c r="H19" s="149" t="s">
        <v>27</v>
      </c>
      <c r="I19" s="151"/>
      <c r="K19" s="65" t="s">
        <v>211</v>
      </c>
      <c r="L19" s="149" t="str">
        <f>$L$6</f>
        <v>JunYTD 2023</v>
      </c>
      <c r="M19" s="133"/>
      <c r="N19" s="149" t="str">
        <f>$N$6</f>
        <v>Jun YTD 2022</v>
      </c>
      <c r="P19" s="170" t="s">
        <v>204</v>
      </c>
      <c r="Q19" s="149" t="s">
        <v>27</v>
      </c>
    </row>
    <row r="20" spans="2:17" x14ac:dyDescent="0.2">
      <c r="B20" s="20" t="s">
        <v>206</v>
      </c>
      <c r="C20" s="78">
        <v>4487271</v>
      </c>
      <c r="D20" s="79"/>
      <c r="E20" s="78">
        <v>4257862</v>
      </c>
      <c r="F20" s="143"/>
      <c r="G20" s="138">
        <f t="shared" ref="G20:G22" si="4">C20-E20</f>
        <v>229409</v>
      </c>
      <c r="H20" s="137">
        <f t="shared" ref="H20:H22" si="5">(C20/E20)-1</f>
        <v>5.3878918574627344E-2</v>
      </c>
      <c r="I20" s="152"/>
      <c r="K20" s="20" t="s">
        <v>206</v>
      </c>
      <c r="L20" s="78">
        <v>9082826</v>
      </c>
      <c r="M20" s="79"/>
      <c r="N20" s="78">
        <v>8606044</v>
      </c>
      <c r="O20" s="143"/>
      <c r="P20" s="138">
        <f t="shared" ref="P20:P22" si="6">L20-N20</f>
        <v>476782</v>
      </c>
      <c r="Q20" s="137">
        <f t="shared" ref="Q20:Q22" si="7">(L20/N20)-1</f>
        <v>5.5400832252310073E-2</v>
      </c>
    </row>
    <row r="21" spans="2:17" x14ac:dyDescent="0.2">
      <c r="B21" s="20" t="s">
        <v>205</v>
      </c>
      <c r="C21" s="78">
        <v>269974</v>
      </c>
      <c r="D21" s="79"/>
      <c r="E21" s="78">
        <v>349992</v>
      </c>
      <c r="F21" s="142"/>
      <c r="G21" s="138">
        <f t="shared" si="4"/>
        <v>-80018</v>
      </c>
      <c r="H21" s="137">
        <f t="shared" si="5"/>
        <v>-0.22862808292760972</v>
      </c>
      <c r="I21" s="151"/>
      <c r="J21" s="131"/>
      <c r="K21" s="20" t="s">
        <v>205</v>
      </c>
      <c r="L21" s="233">
        <v>535399</v>
      </c>
      <c r="M21" s="77"/>
      <c r="N21" s="233">
        <v>663876</v>
      </c>
      <c r="O21" s="142"/>
      <c r="P21" s="138">
        <f t="shared" si="6"/>
        <v>-128477</v>
      </c>
      <c r="Q21" s="137">
        <f t="shared" si="7"/>
        <v>-0.19352559815387216</v>
      </c>
    </row>
    <row r="22" spans="2:17" x14ac:dyDescent="0.2">
      <c r="B22" s="144"/>
      <c r="C22" s="145">
        <f>C21+C20</f>
        <v>4757245</v>
      </c>
      <c r="D22" s="144"/>
      <c r="E22" s="145">
        <f>E21+E20</f>
        <v>4607854</v>
      </c>
      <c r="F22" s="144"/>
      <c r="G22" s="138">
        <f t="shared" si="4"/>
        <v>149391</v>
      </c>
      <c r="H22" s="137">
        <f t="shared" si="5"/>
        <v>3.2420949101251928E-2</v>
      </c>
      <c r="I22" s="153"/>
      <c r="J22" s="146"/>
      <c r="K22" s="144"/>
      <c r="L22" s="145">
        <f>L21+L20</f>
        <v>9618225</v>
      </c>
      <c r="M22" s="144"/>
      <c r="N22" s="145">
        <f>N21+N20</f>
        <v>9269920</v>
      </c>
      <c r="O22" s="144"/>
      <c r="P22" s="138">
        <f t="shared" si="6"/>
        <v>348305</v>
      </c>
      <c r="Q22" s="137">
        <f t="shared" si="7"/>
        <v>3.7573679168752205E-2</v>
      </c>
    </row>
    <row r="23" spans="2:17" x14ac:dyDescent="0.2">
      <c r="I23" s="151"/>
    </row>
    <row r="24" spans="2:17" x14ac:dyDescent="0.2">
      <c r="B24" s="65" t="s">
        <v>212</v>
      </c>
      <c r="I24" s="151"/>
      <c r="K24" s="65" t="s">
        <v>212</v>
      </c>
    </row>
    <row r="25" spans="2:17" x14ac:dyDescent="0.2">
      <c r="B25" s="52" t="str">
        <f>$B$3</f>
        <v xml:space="preserve">Q2'23 vs Q2'22 </v>
      </c>
      <c r="I25" s="151"/>
      <c r="K25" s="52" t="str">
        <f>$B$3</f>
        <v xml:space="preserve">Q2'23 vs Q2'22 </v>
      </c>
    </row>
    <row r="26" spans="2:17" x14ac:dyDescent="0.2">
      <c r="B26" s="44" t="s">
        <v>295</v>
      </c>
      <c r="I26" s="151"/>
      <c r="K26" s="44" t="s">
        <v>202</v>
      </c>
    </row>
    <row r="27" spans="2:17" x14ac:dyDescent="0.2">
      <c r="C27" s="149" t="s">
        <v>203</v>
      </c>
      <c r="D27" s="133"/>
      <c r="E27" s="149" t="s">
        <v>203</v>
      </c>
      <c r="I27" s="151"/>
      <c r="L27" s="149" t="s">
        <v>203</v>
      </c>
      <c r="M27" s="133"/>
      <c r="N27" s="149" t="s">
        <v>203</v>
      </c>
    </row>
    <row r="28" spans="2:17" x14ac:dyDescent="0.2">
      <c r="B28" s="134"/>
      <c r="C28" s="149" t="str">
        <f>$C$6</f>
        <v>Q2'23</v>
      </c>
      <c r="D28" s="133"/>
      <c r="E28" s="149" t="str">
        <f>$E$6</f>
        <v>Q2'22</v>
      </c>
      <c r="G28" s="170" t="s">
        <v>204</v>
      </c>
      <c r="H28" s="149" t="s">
        <v>27</v>
      </c>
      <c r="I28" s="151"/>
      <c r="K28" s="134"/>
      <c r="L28" s="149" t="str">
        <f>$L$6</f>
        <v>JunYTD 2023</v>
      </c>
      <c r="M28" s="133"/>
      <c r="N28" s="149" t="str">
        <f>$N$6</f>
        <v>Jun YTD 2022</v>
      </c>
      <c r="P28" s="170" t="s">
        <v>204</v>
      </c>
      <c r="Q28" s="149" t="s">
        <v>27</v>
      </c>
    </row>
    <row r="29" spans="2:17" x14ac:dyDescent="0.2">
      <c r="C29" s="20">
        <f>0*(('2023 IR Data Book'!$A$5))</f>
        <v>0</v>
      </c>
      <c r="H29" s="135"/>
      <c r="I29" s="151"/>
      <c r="Q29" s="135"/>
    </row>
    <row r="30" spans="2:17" x14ac:dyDescent="0.2">
      <c r="B30" s="20" t="s">
        <v>205</v>
      </c>
      <c r="C30" s="80">
        <f>143900.45473265*(('2023 IR Data Book'!$A$5))</f>
        <v>39182.174680784723</v>
      </c>
      <c r="D30" s="136">
        <f>C30/$C$36</f>
        <v>0.26400151912143005</v>
      </c>
      <c r="E30" s="80">
        <f>155079.187105402*(('2023 IR Data Book'!$A$5))</f>
        <v>42225.994419594288</v>
      </c>
      <c r="F30" s="136">
        <f>E30/$E$36</f>
        <v>0.26356833257020601</v>
      </c>
      <c r="G30" s="138">
        <f>C30-E30</f>
        <v>-3043.819738809565</v>
      </c>
      <c r="H30" s="137">
        <f>(C30/E30)-1</f>
        <v>-7.208402740178288E-2</v>
      </c>
      <c r="I30" s="151"/>
      <c r="K30" s="20" t="s">
        <v>205</v>
      </c>
      <c r="L30" s="80">
        <f>287380.241899698*(('2023 IR Data Book'!$A$5))</f>
        <v>78249.807193731409</v>
      </c>
      <c r="M30" s="136">
        <f>L30/$L$36</f>
        <v>0.25993218879837043</v>
      </c>
      <c r="N30" s="80">
        <f>304171.792598373*(('2023 IR Data Book'!$A$5))</f>
        <v>82821.922506772593</v>
      </c>
      <c r="O30" s="136">
        <f>N30/$N$36</f>
        <v>0.26370514328466005</v>
      </c>
      <c r="P30" s="138">
        <f>L30-N30</f>
        <v>-4572.115313041184</v>
      </c>
      <c r="Q30" s="137">
        <f>(L30/N30)-1</f>
        <v>-5.5204167865908982E-2</v>
      </c>
    </row>
    <row r="31" spans="2:17" x14ac:dyDescent="0.2">
      <c r="B31" s="20" t="s">
        <v>206</v>
      </c>
      <c r="C31" s="80">
        <f>146458.434788883*(('2023 IR Data Book'!$A$5))</f>
        <v>39878.678535338178</v>
      </c>
      <c r="D31" s="136">
        <f t="shared" ref="D31:D34" si="8">C31/$C$36</f>
        <v>0.26869442034945251</v>
      </c>
      <c r="E31" s="80">
        <f>147929.269710899*(('2023 IR Data Book'!$A$5))</f>
        <v>40279.167268664976</v>
      </c>
      <c r="F31" s="136">
        <f t="shared" ref="F31:F34" si="9">E31/$E$36</f>
        <v>0.25141652908929762</v>
      </c>
      <c r="G31" s="138">
        <f t="shared" ref="G31:G34" si="10">C31-E31</f>
        <v>-400.48873332679796</v>
      </c>
      <c r="H31" s="137">
        <f>(C31/E31)-1</f>
        <v>-9.9428255469014015E-3</v>
      </c>
      <c r="I31" s="151"/>
      <c r="K31" s="20" t="s">
        <v>206</v>
      </c>
      <c r="L31" s="80">
        <f>295475.039687179*(('2023 IR Data Book'!$A$5))</f>
        <v>80453.91267417607</v>
      </c>
      <c r="M31" s="136">
        <f>L31/$L$36</f>
        <v>0.2672538421342826</v>
      </c>
      <c r="N31" s="80">
        <f>294374.445183355*(('2023 IR Data Book'!$A$5))</f>
        <v>80154.235468974293</v>
      </c>
      <c r="O31" s="136">
        <f>N31/$N$36</f>
        <v>0.25521122318175848</v>
      </c>
      <c r="P31" s="138">
        <f t="shared" ref="P31:P34" si="11">L31-N31</f>
        <v>299.67720520177681</v>
      </c>
      <c r="Q31" s="137">
        <f>(L31/N31)-1</f>
        <v>3.738756953371114E-3</v>
      </c>
    </row>
    <row r="32" spans="2:17" x14ac:dyDescent="0.2">
      <c r="B32" s="20" t="s">
        <v>207</v>
      </c>
      <c r="C32" s="80">
        <f>190909.160365378*(('2023 IR Data Book'!$A$5))</f>
        <v>51982.018288236664</v>
      </c>
      <c r="D32" s="136">
        <f t="shared" si="8"/>
        <v>0.35024426048058227</v>
      </c>
      <c r="E32" s="80">
        <f>220381.788687397*(('2023 IR Data Book'!$A$5))</f>
        <v>60007.021915644771</v>
      </c>
      <c r="F32" s="136">
        <f t="shared" si="9"/>
        <v>0.37455484296353636</v>
      </c>
      <c r="G32" s="74">
        <f t="shared" si="10"/>
        <v>-8025.0036274081067</v>
      </c>
      <c r="H32" s="75">
        <f>(C32/E32)-1</f>
        <v>-0.13373440926112456</v>
      </c>
      <c r="I32" s="151"/>
      <c r="K32" s="20" t="s">
        <v>207</v>
      </c>
      <c r="L32" s="80">
        <f>392413.616481287*(('2023 IR Data Book'!$A$5))</f>
        <v>106848.99430411342</v>
      </c>
      <c r="M32" s="136">
        <f>L32/$L$36</f>
        <v>0.3549336919337196</v>
      </c>
      <c r="N32" s="80">
        <f>426484.480322122*(('2023 IR Data Book'!$A$5))</f>
        <v>116126.03613846375</v>
      </c>
      <c r="O32" s="136">
        <f>N32/$N$36</f>
        <v>0.36974549819788421</v>
      </c>
      <c r="P32" s="74">
        <f t="shared" si="11"/>
        <v>-9277.0418343503261</v>
      </c>
      <c r="Q32" s="75">
        <f>(L32/N32)-1</f>
        <v>-7.9887699114165711E-2</v>
      </c>
    </row>
    <row r="33" spans="2:17" x14ac:dyDescent="0.2">
      <c r="B33" s="20" t="s">
        <v>208</v>
      </c>
      <c r="C33" s="80">
        <f>61898.1990430717*(('2023 IR Data Book'!$A$5))</f>
        <v>16854.0540878592</v>
      </c>
      <c r="D33" s="136">
        <f t="shared" si="8"/>
        <v>0.11355918651272943</v>
      </c>
      <c r="E33" s="80">
        <f>62883.3131435253*(('2023 IR Data Book'!$A$5))</f>
        <v>17122.287519339243</v>
      </c>
      <c r="F33" s="136">
        <f t="shared" si="9"/>
        <v>0.10687475412457684</v>
      </c>
      <c r="G33" s="138">
        <f t="shared" si="10"/>
        <v>-268.23343148004278</v>
      </c>
      <c r="H33" s="137">
        <f>(C33/E33)-1</f>
        <v>-1.566574741704807E-2</v>
      </c>
      <c r="I33" s="151"/>
      <c r="K33" s="20" t="s">
        <v>208</v>
      </c>
      <c r="L33" s="80">
        <f>126456.171802502*(('2023 IR Data Book'!$A$5))</f>
        <v>34432.329086342645</v>
      </c>
      <c r="M33" s="136">
        <f>L33/$L$36</f>
        <v>0.1143781816954538</v>
      </c>
      <c r="N33" s="80">
        <f>124529.828928747*(('2023 IR Data Book'!$A$5))</f>
        <v>33907.811612685015</v>
      </c>
      <c r="O33" s="136">
        <f>N33/$N$36</f>
        <v>0.10796253031993039</v>
      </c>
      <c r="P33" s="138">
        <f t="shared" si="11"/>
        <v>524.51747365763003</v>
      </c>
      <c r="Q33" s="137">
        <f>(L33/N33)-1</f>
        <v>1.5468927327100257E-2</v>
      </c>
    </row>
    <row r="34" spans="2:17" x14ac:dyDescent="0.2">
      <c r="B34" s="20" t="s">
        <v>209</v>
      </c>
      <c r="C34" s="80">
        <f>1908.09462506926*(('2023 IR Data Book'!$A$5))</f>
        <v>519.54871891010725</v>
      </c>
      <c r="D34" s="136">
        <f t="shared" si="8"/>
        <v>3.5006135358057714E-3</v>
      </c>
      <c r="E34" s="80">
        <f>2109.67234694001*(('2023 IR Data Book'!$A$5))</f>
        <v>574.43564421391102</v>
      </c>
      <c r="F34" s="136">
        <f t="shared" si="9"/>
        <v>3.58554125238307E-3</v>
      </c>
      <c r="G34" s="138">
        <f t="shared" si="10"/>
        <v>-54.886925303803764</v>
      </c>
      <c r="H34" s="137">
        <f>(C34/E34)-1</f>
        <v>-9.5549302792506952E-2</v>
      </c>
      <c r="I34" s="151"/>
      <c r="K34" s="20" t="s">
        <v>209</v>
      </c>
      <c r="L34" s="80">
        <f>3871.90612609668*(('2023 IR Data Book'!$A$5))</f>
        <v>1054.2684000698905</v>
      </c>
      <c r="M34" s="136">
        <f>L34/$L$36</f>
        <v>3.5020954381735003E-3</v>
      </c>
      <c r="N34" s="80">
        <f>3893.6056231618*(('2023 IR Data Book'!$A$5))</f>
        <v>1060.1768837231932</v>
      </c>
      <c r="O34" s="136">
        <f>N34/$N$36</f>
        <v>3.3756050157667788E-3</v>
      </c>
      <c r="P34" s="138">
        <f t="shared" si="11"/>
        <v>-5.9084836533027101</v>
      </c>
      <c r="Q34" s="137">
        <f>(L34/N34)-1</f>
        <v>-5.5731111892884933E-3</v>
      </c>
    </row>
    <row r="35" spans="2:17" x14ac:dyDescent="0.2">
      <c r="C35" s="80"/>
      <c r="D35" s="136"/>
      <c r="E35" s="80"/>
      <c r="F35" s="136"/>
      <c r="G35" s="138"/>
      <c r="H35" s="137"/>
      <c r="I35" s="151"/>
      <c r="L35" s="80"/>
      <c r="M35" s="136"/>
      <c r="N35" s="80"/>
      <c r="O35" s="136"/>
      <c r="P35" s="138"/>
      <c r="Q35" s="137"/>
    </row>
    <row r="36" spans="2:17" x14ac:dyDescent="0.2">
      <c r="B36" s="65" t="s">
        <v>210</v>
      </c>
      <c r="C36" s="81">
        <f>SUM(C30:C34)</f>
        <v>148416.47431112887</v>
      </c>
      <c r="D36" s="136">
        <f>C36/$C$36</f>
        <v>1</v>
      </c>
      <c r="E36" s="81">
        <f>SUM(E30:E34)</f>
        <v>160208.9067674572</v>
      </c>
      <c r="F36" s="136">
        <f>E36/$E$36</f>
        <v>1</v>
      </c>
      <c r="G36" s="139">
        <f>C36-E36</f>
        <v>-11792.43245632833</v>
      </c>
      <c r="H36" s="140">
        <f>(C36/E36)-1</f>
        <v>-7.3606597125370876E-2</v>
      </c>
      <c r="I36" s="216">
        <f>C36/$C$201</f>
        <v>0.39246755314631299</v>
      </c>
      <c r="K36" s="65" t="s">
        <v>210</v>
      </c>
      <c r="L36" s="81">
        <f>SUM(L30:L34)</f>
        <v>301039.31165843346</v>
      </c>
      <c r="M36" s="136">
        <f>L36/$L$36</f>
        <v>1</v>
      </c>
      <c r="N36" s="81">
        <f>SUM(N30:N34)</f>
        <v>314070.18261061888</v>
      </c>
      <c r="O36" s="136">
        <f>N36/$N$36</f>
        <v>1</v>
      </c>
      <c r="P36" s="139">
        <f>L36-N36</f>
        <v>-13030.870952185418</v>
      </c>
      <c r="Q36" s="140">
        <f>(L36/N36)-1</f>
        <v>-4.1490315457105797E-2</v>
      </c>
    </row>
    <row r="37" spans="2:17" x14ac:dyDescent="0.2">
      <c r="C37" s="80"/>
      <c r="D37" s="141"/>
      <c r="E37" s="80"/>
      <c r="F37" s="141"/>
      <c r="G37" s="171"/>
      <c r="H37" s="137"/>
      <c r="I37" s="216">
        <f>E36/$E$201</f>
        <v>0.38796491835902319</v>
      </c>
      <c r="L37" s="80">
        <v>0</v>
      </c>
      <c r="M37" s="141"/>
      <c r="N37" s="80">
        <v>0</v>
      </c>
      <c r="O37" s="141"/>
      <c r="P37" s="171"/>
      <c r="Q37" s="137"/>
    </row>
    <row r="38" spans="2:17" x14ac:dyDescent="0.2">
      <c r="B38" s="65" t="s">
        <v>31</v>
      </c>
      <c r="C38" s="81">
        <f>129110.355422024*(('2023 IR Data Book'!$A$5))</f>
        <v>35155.027888151169</v>
      </c>
      <c r="D38" s="136">
        <f>C38/$C$36</f>
        <v>0.23686742358840082</v>
      </c>
      <c r="E38" s="81">
        <f>124958.451598334*(('2023 IR Data Book'!$A$5))</f>
        <v>34024.519849244127</v>
      </c>
      <c r="F38" s="136">
        <f>E38/$E$36</f>
        <v>0.21237595671650533</v>
      </c>
      <c r="G38" s="139">
        <f>C38-E38</f>
        <v>1130.5080389070426</v>
      </c>
      <c r="H38" s="140">
        <f>(C38/E38)-1</f>
        <v>3.322627457833649E-2</v>
      </c>
      <c r="I38" s="154"/>
      <c r="K38" s="65" t="s">
        <v>31</v>
      </c>
      <c r="L38" s="81">
        <f>264908.703057567*(('2023 IR Data Book'!$A$5))</f>
        <v>72131.106860961445</v>
      </c>
      <c r="M38" s="136">
        <f>L38/$L$36</f>
        <v>0.2396069352656611</v>
      </c>
      <c r="N38" s="81">
        <f>234451.679578434*(('2023 IR Data Book'!$A$5))</f>
        <v>63838.065560756411</v>
      </c>
      <c r="O38" s="136">
        <f>N38/$N$36</f>
        <v>0.2032605102150121</v>
      </c>
      <c r="P38" s="139">
        <f>L38-N38</f>
        <v>8293.0413002050336</v>
      </c>
      <c r="Q38" s="140">
        <f>(L38/N38)-1</f>
        <v>0.12990746551228627</v>
      </c>
    </row>
    <row r="39" spans="2:17" x14ac:dyDescent="0.2">
      <c r="I39" s="151"/>
    </row>
    <row r="40" spans="2:17" x14ac:dyDescent="0.2">
      <c r="B40" s="65" t="s">
        <v>211</v>
      </c>
      <c r="C40" s="149" t="str">
        <f>$C$6</f>
        <v>Q2'23</v>
      </c>
      <c r="D40" s="133"/>
      <c r="E40" s="149" t="str">
        <f>$E$6</f>
        <v>Q2'22</v>
      </c>
      <c r="G40" s="170" t="s">
        <v>204</v>
      </c>
      <c r="H40" s="149" t="s">
        <v>27</v>
      </c>
      <c r="I40" s="151"/>
      <c r="K40" s="65" t="s">
        <v>211</v>
      </c>
      <c r="L40" s="149" t="str">
        <f>$L$6</f>
        <v>JunYTD 2023</v>
      </c>
      <c r="M40" s="133"/>
      <c r="N40" s="149" t="str">
        <f>$N$6</f>
        <v>Jun YTD 2022</v>
      </c>
      <c r="P40" s="170" t="s">
        <v>204</v>
      </c>
      <c r="Q40" s="149" t="s">
        <v>27</v>
      </c>
    </row>
    <row r="41" spans="2:17" x14ac:dyDescent="0.2">
      <c r="B41" s="20" t="s">
        <v>206</v>
      </c>
      <c r="C41" s="76">
        <v>8259627</v>
      </c>
      <c r="D41" s="76"/>
      <c r="E41" s="76">
        <v>8081782</v>
      </c>
      <c r="F41" s="83"/>
      <c r="G41" s="138">
        <f t="shared" ref="G41:G43" si="12">C41-E41</f>
        <v>177845</v>
      </c>
      <c r="H41" s="137">
        <f t="shared" ref="H41:H43" si="13">(C41/E41)-1</f>
        <v>2.2005666572050497E-2</v>
      </c>
      <c r="I41" s="152"/>
      <c r="K41" s="20" t="s">
        <v>206</v>
      </c>
      <c r="L41" s="76">
        <v>16597145</v>
      </c>
      <c r="M41" s="76"/>
      <c r="N41" s="76">
        <v>16286146</v>
      </c>
      <c r="O41" s="83"/>
      <c r="P41" s="138">
        <f t="shared" ref="P41:P43" si="14">L41-N41</f>
        <v>310999</v>
      </c>
      <c r="Q41" s="137">
        <f t="shared" ref="Q41:Q43" si="15">(L41/N41)-1</f>
        <v>1.9095923615077393E-2</v>
      </c>
    </row>
    <row r="42" spans="2:17" x14ac:dyDescent="0.2">
      <c r="B42" s="20" t="s">
        <v>205</v>
      </c>
      <c r="C42" s="233">
        <v>1405600</v>
      </c>
      <c r="D42" s="77"/>
      <c r="E42" s="233">
        <v>1621497</v>
      </c>
      <c r="F42" s="142"/>
      <c r="G42" s="138">
        <f t="shared" si="12"/>
        <v>-215897</v>
      </c>
      <c r="H42" s="137">
        <f t="shared" si="13"/>
        <v>-0.13314671565843172</v>
      </c>
      <c r="I42" s="151"/>
      <c r="J42" s="131"/>
      <c r="K42" s="65" t="s">
        <v>205</v>
      </c>
      <c r="L42" s="233">
        <v>2716013</v>
      </c>
      <c r="M42" s="77"/>
      <c r="N42" s="233">
        <v>3108590</v>
      </c>
      <c r="O42" s="142"/>
      <c r="P42" s="138">
        <f t="shared" si="14"/>
        <v>-392577</v>
      </c>
      <c r="Q42" s="137">
        <f t="shared" si="15"/>
        <v>-0.12628780250853278</v>
      </c>
    </row>
    <row r="43" spans="2:17" x14ac:dyDescent="0.2">
      <c r="B43" s="144"/>
      <c r="C43" s="145">
        <f>C42+C41</f>
        <v>9665227</v>
      </c>
      <c r="D43" s="144"/>
      <c r="E43" s="145">
        <f>E42+E41</f>
        <v>9703279</v>
      </c>
      <c r="F43" s="144"/>
      <c r="G43" s="138">
        <f t="shared" si="12"/>
        <v>-38052</v>
      </c>
      <c r="H43" s="137">
        <f t="shared" si="13"/>
        <v>-3.9215609486236147E-3</v>
      </c>
      <c r="I43" s="153"/>
      <c r="K43" s="144"/>
      <c r="L43" s="145">
        <f>L42+L41</f>
        <v>19313158</v>
      </c>
      <c r="M43" s="144"/>
      <c r="N43" s="145">
        <f>N42+N41</f>
        <v>19394736</v>
      </c>
      <c r="O43" s="144"/>
      <c r="P43" s="138">
        <f t="shared" si="14"/>
        <v>-81578</v>
      </c>
      <c r="Q43" s="137">
        <f t="shared" si="15"/>
        <v>-4.20619285562851E-3</v>
      </c>
    </row>
    <row r="44" spans="2:17" x14ac:dyDescent="0.2">
      <c r="I44" s="151"/>
    </row>
    <row r="45" spans="2:17" x14ac:dyDescent="0.2">
      <c r="B45" s="65" t="s">
        <v>192</v>
      </c>
      <c r="I45" s="151"/>
      <c r="K45" s="65" t="s">
        <v>192</v>
      </c>
    </row>
    <row r="46" spans="2:17" x14ac:dyDescent="0.2">
      <c r="B46" s="52" t="str">
        <f>$B$3</f>
        <v xml:space="preserve">Q2'23 vs Q2'22 </v>
      </c>
      <c r="I46" s="151"/>
      <c r="K46" s="52" t="str">
        <f>$B$3</f>
        <v xml:space="preserve">Q2'23 vs Q2'22 </v>
      </c>
    </row>
    <row r="47" spans="2:17" x14ac:dyDescent="0.2">
      <c r="B47" s="44" t="s">
        <v>295</v>
      </c>
      <c r="I47" s="151"/>
      <c r="K47" s="44" t="s">
        <v>202</v>
      </c>
    </row>
    <row r="48" spans="2:17" x14ac:dyDescent="0.2">
      <c r="C48" s="149" t="s">
        <v>203</v>
      </c>
      <c r="D48" s="133"/>
      <c r="E48" s="149" t="s">
        <v>203</v>
      </c>
      <c r="I48" s="151"/>
      <c r="L48" s="149" t="s">
        <v>203</v>
      </c>
      <c r="M48" s="133"/>
      <c r="N48" s="149" t="s">
        <v>203</v>
      </c>
    </row>
    <row r="49" spans="2:17" x14ac:dyDescent="0.2">
      <c r="B49" s="134"/>
      <c r="C49" s="149" t="str">
        <f>$C$6</f>
        <v>Q2'23</v>
      </c>
      <c r="D49" s="133"/>
      <c r="E49" s="149" t="str">
        <f>$E$6</f>
        <v>Q2'22</v>
      </c>
      <c r="G49" s="170" t="s">
        <v>204</v>
      </c>
      <c r="H49" s="149" t="s">
        <v>27</v>
      </c>
      <c r="I49" s="151"/>
      <c r="K49" s="134"/>
      <c r="L49" s="149" t="str">
        <f>$L$6</f>
        <v>JunYTD 2023</v>
      </c>
      <c r="M49" s="133"/>
      <c r="N49" s="149" t="str">
        <f>$N$6</f>
        <v>Jun YTD 2022</v>
      </c>
      <c r="P49" s="170" t="s">
        <v>204</v>
      </c>
      <c r="Q49" s="149" t="s">
        <v>27</v>
      </c>
    </row>
    <row r="50" spans="2:17" x14ac:dyDescent="0.2">
      <c r="H50" s="135"/>
      <c r="I50" s="151"/>
      <c r="Q50" s="135"/>
    </row>
    <row r="51" spans="2:17" x14ac:dyDescent="0.2">
      <c r="B51" s="20" t="s">
        <v>205</v>
      </c>
      <c r="C51" s="80">
        <f>17965.7133069849*(('2023 IR Data Book'!$A$5))</f>
        <v>4891.8241319460058</v>
      </c>
      <c r="D51" s="136">
        <f>C51/$C$57</f>
        <v>0.24800378841735268</v>
      </c>
      <c r="E51" s="80">
        <f>20060.5151794624*(('2023 IR Data Book'!$A$5))</f>
        <v>5462.2107442853558</v>
      </c>
      <c r="F51" s="136">
        <f>E51/$E$57</f>
        <v>0.22495947247859957</v>
      </c>
      <c r="G51" s="138">
        <f>C51-E51</f>
        <v>-570.38661233934999</v>
      </c>
      <c r="H51" s="137">
        <f>(C51/E51)-1</f>
        <v>-0.10442413137136763</v>
      </c>
      <c r="I51" s="151"/>
      <c r="K51" s="20" t="s">
        <v>205</v>
      </c>
      <c r="L51" s="80">
        <f>35365.3066409009*(('2023 IR Data Book'!$A$5))</f>
        <v>9629.5013453414194</v>
      </c>
      <c r="M51" s="136">
        <f>L51/$L$57</f>
        <v>0.22555069985232568</v>
      </c>
      <c r="N51" s="80">
        <f>39059.1700288788*(('2023 IR Data Book'!$A$5))</f>
        <v>10635.291082306485</v>
      </c>
      <c r="O51" s="136">
        <f>N51/$N$57</f>
        <v>0.2215503582072593</v>
      </c>
      <c r="P51" s="138">
        <f>L51-N51</f>
        <v>-1005.7897369650655</v>
      </c>
      <c r="Q51" s="137">
        <f>(L51/N51)-1</f>
        <v>-9.4570964647912481E-2</v>
      </c>
    </row>
    <row r="52" spans="2:17" x14ac:dyDescent="0.2">
      <c r="B52" s="20" t="s">
        <v>206</v>
      </c>
      <c r="C52" s="80">
        <f>34607.7244616351*(('2023 IR Data Book'!$A$5))</f>
        <v>9423.2218214984205</v>
      </c>
      <c r="D52" s="136">
        <f t="shared" ref="D52:D55" si="16">C52/$C$57</f>
        <v>0.47773481789072419</v>
      </c>
      <c r="E52" s="80">
        <f>42193.0905910047*(('2023 IR Data Book'!$A$5))</f>
        <v>11488.615855525975</v>
      </c>
      <c r="F52" s="136">
        <f t="shared" ref="F52:F55" si="17">E52/$E$57</f>
        <v>0.47315511673955668</v>
      </c>
      <c r="G52" s="138">
        <f t="shared" ref="G52:G55" si="18">C52-E52</f>
        <v>-2065.3940340275549</v>
      </c>
      <c r="H52" s="137">
        <f>(C52/E52)-1</f>
        <v>-0.17977744751854585</v>
      </c>
      <c r="I52" s="151"/>
      <c r="K52" s="20" t="s">
        <v>206</v>
      </c>
      <c r="L52" s="80">
        <f>69928.0294779054*(('2023 IR Data Book'!$A$5))</f>
        <v>19040.469824621629</v>
      </c>
      <c r="M52" s="136">
        <f>L52/$L$57</f>
        <v>0.44598272957697271</v>
      </c>
      <c r="N52" s="80">
        <f>82479.2671103146*(('2023 IR Data Book'!$A$5))</f>
        <v>22458.004441081139</v>
      </c>
      <c r="O52" s="136">
        <f>N52/$N$57</f>
        <v>0.46783664782052098</v>
      </c>
      <c r="P52" s="138">
        <f t="shared" ref="P52:P55" si="19">L52-N52</f>
        <v>-3417.5346164595103</v>
      </c>
      <c r="Q52" s="137">
        <f>(L52/N52)-1</f>
        <v>-0.15217445634697668</v>
      </c>
    </row>
    <row r="53" spans="2:17" x14ac:dyDescent="0.2">
      <c r="B53" s="20" t="s">
        <v>207</v>
      </c>
      <c r="C53" s="80">
        <f>14145.6768000647*(('2023 IR Data Book'!$A$5))</f>
        <v>3851.6791374134673</v>
      </c>
      <c r="D53" s="136">
        <f t="shared" si="16"/>
        <v>0.19527092390924175</v>
      </c>
      <c r="E53" s="80">
        <f>21367.6640197469*(('2023 IR Data Book'!$A$5))</f>
        <v>5818.1299405725913</v>
      </c>
      <c r="F53" s="136">
        <f t="shared" si="17"/>
        <v>0.23961789530227975</v>
      </c>
      <c r="G53" s="74">
        <f t="shared" si="18"/>
        <v>-1966.450803159124</v>
      </c>
      <c r="H53" s="75">
        <f>(C53/E53)-1</f>
        <v>-0.33798674543965168</v>
      </c>
      <c r="I53" s="151"/>
      <c r="K53" s="20" t="s">
        <v>207</v>
      </c>
      <c r="L53" s="80">
        <f>40480.7857469292*(('2023 IR Data Book'!$A$5))</f>
        <v>11022.378082810324</v>
      </c>
      <c r="M53" s="136">
        <f>L53/$L$57</f>
        <v>0.25817589109300426</v>
      </c>
      <c r="N53" s="80">
        <f>43837.2041228409*(('2023 IR Data Book'!$A$5))</f>
        <v>11936.286043359172</v>
      </c>
      <c r="O53" s="136">
        <f>N53/$N$57</f>
        <v>0.24865219278953876</v>
      </c>
      <c r="P53" s="74">
        <f t="shared" si="19"/>
        <v>-913.90796054884777</v>
      </c>
      <c r="Q53" s="75">
        <f>(L53/N53)-1</f>
        <v>-7.6565521069873022E-2</v>
      </c>
    </row>
    <row r="54" spans="2:17" x14ac:dyDescent="0.2">
      <c r="B54" s="20" t="s">
        <v>208</v>
      </c>
      <c r="C54" s="80">
        <f>2977.62516952367*(('2023 IR Data Book'!$A$5))</f>
        <v>810.76762226315691</v>
      </c>
      <c r="D54" s="136">
        <f t="shared" si="16"/>
        <v>4.1103980115369254E-2</v>
      </c>
      <c r="E54" s="80">
        <f>3106.62401356266*(('2023 IR Data Book'!$A$5))</f>
        <v>845.89228708889061</v>
      </c>
      <c r="F54" s="136">
        <f t="shared" si="17"/>
        <v>3.4837814135296526E-2</v>
      </c>
      <c r="G54" s="138">
        <f t="shared" si="18"/>
        <v>-35.124664825733703</v>
      </c>
      <c r="H54" s="137">
        <f>(C54/E54)-1</f>
        <v>-4.1523803162473616E-2</v>
      </c>
      <c r="I54" s="151"/>
      <c r="K54" s="20" t="s">
        <v>208</v>
      </c>
      <c r="L54" s="80">
        <f>5692.6336377812*(('2023 IR Data Book'!$A$5))</f>
        <v>1550.028219185645</v>
      </c>
      <c r="M54" s="136">
        <f>L54/$L$57</f>
        <v>3.6306132279353316E-2</v>
      </c>
      <c r="N54" s="80">
        <f>6075.88843442951*(('2023 IR Data Book'!$A$5))</f>
        <v>1654.3833889967625</v>
      </c>
      <c r="O54" s="136">
        <f>N54/$N$57</f>
        <v>3.4463488550318347E-2</v>
      </c>
      <c r="P54" s="138">
        <f t="shared" si="19"/>
        <v>-104.35516981111755</v>
      </c>
      <c r="Q54" s="137">
        <f>(L54/N54)-1</f>
        <v>-6.3077984525944597E-2</v>
      </c>
    </row>
    <row r="55" spans="2:17" x14ac:dyDescent="0.2">
      <c r="B55" s="20" t="s">
        <v>209</v>
      </c>
      <c r="C55" s="80">
        <f>2744.54602453706*(('2023 IR Data Book'!$A$5))</f>
        <v>747.30327956680821</v>
      </c>
      <c r="D55" s="136">
        <f t="shared" si="16"/>
        <v>3.7886489667312132E-2</v>
      </c>
      <c r="E55" s="80">
        <f>2446.01364913471*(('2023 IR Data Book'!$A$5))</f>
        <v>666.01689515185694</v>
      </c>
      <c r="F55" s="136">
        <f t="shared" si="17"/>
        <v>2.7429701344267518E-2</v>
      </c>
      <c r="G55" s="138">
        <f t="shared" si="18"/>
        <v>81.286384414951272</v>
      </c>
      <c r="H55" s="137">
        <f>(C55/E55)-1</f>
        <v>0.12204853211181277</v>
      </c>
      <c r="I55" s="151"/>
      <c r="K55" s="20" t="s">
        <v>209</v>
      </c>
      <c r="L55" s="80">
        <f>5328.6198336272*(('2023 IR Data Book'!$A$5))</f>
        <v>1450.9121150212927</v>
      </c>
      <c r="M55" s="136">
        <f>L55/$L$57</f>
        <v>3.3984547198343804E-2</v>
      </c>
      <c r="N55" s="80">
        <f>4847.75659193448*(('2023 IR Data Book'!$A$5))</f>
        <v>1319.979467389446</v>
      </c>
      <c r="O55" s="136">
        <f>N55/$N$57</f>
        <v>2.7497312632362571E-2</v>
      </c>
      <c r="P55" s="138">
        <f t="shared" si="19"/>
        <v>130.93264763184675</v>
      </c>
      <c r="Q55" s="137">
        <f>(L55/N55)-1</f>
        <v>9.9192942668112405E-2</v>
      </c>
    </row>
    <row r="56" spans="2:17" x14ac:dyDescent="0.2">
      <c r="C56" s="80"/>
      <c r="D56" s="136"/>
      <c r="E56" s="80"/>
      <c r="F56" s="136"/>
      <c r="G56" s="138"/>
      <c r="H56" s="137"/>
      <c r="I56" s="151"/>
      <c r="L56" s="80"/>
      <c r="M56" s="136"/>
      <c r="N56" s="80"/>
      <c r="O56" s="136"/>
      <c r="P56" s="138"/>
      <c r="Q56" s="137"/>
    </row>
    <row r="57" spans="2:17" x14ac:dyDescent="0.2">
      <c r="B57" s="65" t="s">
        <v>210</v>
      </c>
      <c r="C57" s="81">
        <f>SUM(C51:C55)</f>
        <v>19724.795992687858</v>
      </c>
      <c r="D57" s="136">
        <f>C57/$C$57</f>
        <v>1</v>
      </c>
      <c r="E57" s="81">
        <f>SUM(E51:E55)</f>
        <v>24280.865722624669</v>
      </c>
      <c r="F57" s="136">
        <f>E57/$E$57</f>
        <v>1</v>
      </c>
      <c r="G57" s="139">
        <f>C57-E57</f>
        <v>-4556.0697299368112</v>
      </c>
      <c r="H57" s="140">
        <f>(C57/E57)-1</f>
        <v>-0.18764033300886429</v>
      </c>
      <c r="I57" s="216">
        <f>C57/$C$201</f>
        <v>5.2159589799526222E-2</v>
      </c>
      <c r="K57" s="65" t="s">
        <v>210</v>
      </c>
      <c r="L57" s="81">
        <f>SUM(L51:L55)</f>
        <v>42693.289586980318</v>
      </c>
      <c r="M57" s="136">
        <f>L57/$L$57</f>
        <v>1</v>
      </c>
      <c r="N57" s="81">
        <f>SUM(N51:N55)</f>
        <v>48003.944423133005</v>
      </c>
      <c r="O57" s="136">
        <f>N57/$N$57</f>
        <v>1</v>
      </c>
      <c r="P57" s="139">
        <f>L57-N57</f>
        <v>-5310.6548361526875</v>
      </c>
      <c r="Q57" s="140">
        <f>(L57/N57)-1</f>
        <v>-0.11062955138314623</v>
      </c>
    </row>
    <row r="58" spans="2:17" x14ac:dyDescent="0.2">
      <c r="C58" s="80"/>
      <c r="D58" s="141"/>
      <c r="E58" s="80"/>
      <c r="F58" s="141"/>
      <c r="G58" s="171"/>
      <c r="H58" s="137"/>
      <c r="I58" s="216">
        <f>E57/$E$201</f>
        <v>5.8799003612438158E-2</v>
      </c>
      <c r="L58" s="80"/>
      <c r="M58" s="141"/>
      <c r="N58" s="80"/>
      <c r="O58" s="141"/>
      <c r="P58" s="171"/>
      <c r="Q58" s="137"/>
    </row>
    <row r="59" spans="2:17" x14ac:dyDescent="0.2">
      <c r="B59" s="65" t="s">
        <v>31</v>
      </c>
      <c r="C59" s="81">
        <f>27891.8385787921*(('2023 IR Data Book'!$A$5))</f>
        <v>7594.5756626891298</v>
      </c>
      <c r="D59" s="136">
        <f>C59/$C$57</f>
        <v>0.38502682945387628</v>
      </c>
      <c r="E59" s="81">
        <f>35415.6625350416*(('2023 IR Data Book'!$A$5))</f>
        <v>9643.212583739476</v>
      </c>
      <c r="F59" s="136">
        <f>E59/$E$57</f>
        <v>0.39715274957243502</v>
      </c>
      <c r="G59" s="139">
        <f>C59-E59</f>
        <v>-2048.6369210503462</v>
      </c>
      <c r="H59" s="140">
        <f>(C59/E59)-1</f>
        <v>-0.21244340547928886</v>
      </c>
      <c r="I59" s="151"/>
      <c r="K59" s="65" t="s">
        <v>31</v>
      </c>
      <c r="L59" s="81">
        <f>54052.1625540052*(('2023 IR Data Book'!$A$5))</f>
        <v>14717.682991342699</v>
      </c>
      <c r="M59" s="136">
        <f>L59/$L$57</f>
        <v>0.34473059194368055</v>
      </c>
      <c r="N59" s="81">
        <f>63747.8088125315*(('2023 IR Data Book'!$A$5))</f>
        <v>17357.678160576022</v>
      </c>
      <c r="O59" s="136">
        <f>N59/$N$57</f>
        <v>0.3615885812960693</v>
      </c>
      <c r="P59" s="139">
        <f>L59-N59</f>
        <v>-2639.9951692333234</v>
      </c>
      <c r="Q59" s="140">
        <f>(L59/N59)-1</f>
        <v>-0.15209379646348475</v>
      </c>
    </row>
    <row r="60" spans="2:17" x14ac:dyDescent="0.2">
      <c r="I60" s="151"/>
    </row>
    <row r="61" spans="2:17" x14ac:dyDescent="0.2">
      <c r="B61" s="65" t="s">
        <v>211</v>
      </c>
      <c r="C61" s="149" t="str">
        <f>$C$6</f>
        <v>Q2'23</v>
      </c>
      <c r="D61" s="133"/>
      <c r="E61" s="149" t="str">
        <f>$E$6</f>
        <v>Q2'22</v>
      </c>
      <c r="G61" s="170" t="s">
        <v>204</v>
      </c>
      <c r="H61" s="149" t="s">
        <v>27</v>
      </c>
      <c r="I61" s="151"/>
      <c r="K61" s="65" t="s">
        <v>211</v>
      </c>
      <c r="L61" s="149" t="str">
        <f>$L$6</f>
        <v>JunYTD 2023</v>
      </c>
      <c r="M61" s="133"/>
      <c r="N61" s="149" t="str">
        <f>$N$6</f>
        <v>Jun YTD 2022</v>
      </c>
      <c r="P61" s="170" t="s">
        <v>204</v>
      </c>
      <c r="Q61" s="149" t="s">
        <v>27</v>
      </c>
    </row>
    <row r="62" spans="2:17" x14ac:dyDescent="0.2">
      <c r="B62" s="20" t="s">
        <v>206</v>
      </c>
      <c r="C62" s="76">
        <v>1327147</v>
      </c>
      <c r="D62" s="76"/>
      <c r="E62" s="76">
        <v>1486489</v>
      </c>
      <c r="F62" s="83"/>
      <c r="G62" s="138">
        <f t="shared" ref="G62:G64" si="20">C62-E62</f>
        <v>-159342</v>
      </c>
      <c r="H62" s="137">
        <f t="shared" ref="H62:H64" si="21">(C62/E62)-1</f>
        <v>-0.10719352783639835</v>
      </c>
      <c r="I62" s="152"/>
      <c r="K62" s="20" t="s">
        <v>206</v>
      </c>
      <c r="L62" s="76">
        <v>2670154</v>
      </c>
      <c r="M62" s="76"/>
      <c r="N62" s="76">
        <v>2997038</v>
      </c>
      <c r="O62" s="83"/>
      <c r="P62" s="138">
        <f t="shared" ref="P62:P64" si="22">L62-N62</f>
        <v>-326884</v>
      </c>
      <c r="Q62" s="137">
        <f t="shared" ref="Q62:Q64" si="23">(L62/N62)-1</f>
        <v>-0.10906902081321623</v>
      </c>
    </row>
    <row r="63" spans="2:17" x14ac:dyDescent="0.2">
      <c r="B63" s="65" t="s">
        <v>205</v>
      </c>
      <c r="C63" s="150">
        <v>72546</v>
      </c>
      <c r="D63" s="77"/>
      <c r="E63" s="150">
        <v>79030</v>
      </c>
      <c r="F63" s="142"/>
      <c r="G63" s="138">
        <f t="shared" si="20"/>
        <v>-6484</v>
      </c>
      <c r="H63" s="137">
        <f t="shared" si="21"/>
        <v>-8.2044793116538006E-2</v>
      </c>
      <c r="I63" s="151"/>
      <c r="J63" s="131"/>
      <c r="K63" s="65" t="s">
        <v>205</v>
      </c>
      <c r="L63" s="150">
        <v>143535</v>
      </c>
      <c r="M63" s="77"/>
      <c r="N63" s="150">
        <v>159927</v>
      </c>
      <c r="O63" s="142"/>
      <c r="P63" s="138">
        <f t="shared" si="22"/>
        <v>-16392</v>
      </c>
      <c r="Q63" s="137">
        <f t="shared" si="23"/>
        <v>-0.10249676414864284</v>
      </c>
    </row>
    <row r="64" spans="2:17" x14ac:dyDescent="0.2">
      <c r="B64" s="144"/>
      <c r="C64" s="145">
        <f>C63+C62</f>
        <v>1399693</v>
      </c>
      <c r="D64" s="144"/>
      <c r="E64" s="145">
        <f>E63+E62</f>
        <v>1565519</v>
      </c>
      <c r="F64" s="144"/>
      <c r="G64" s="138">
        <f t="shared" si="20"/>
        <v>-165826</v>
      </c>
      <c r="H64" s="137">
        <f t="shared" si="21"/>
        <v>-0.10592397792680897</v>
      </c>
      <c r="I64" s="153"/>
      <c r="J64" s="131"/>
      <c r="K64" s="144"/>
      <c r="L64" s="145">
        <f>L63+L62</f>
        <v>2813689</v>
      </c>
      <c r="M64" s="144"/>
      <c r="N64" s="145">
        <f>N63+N62</f>
        <v>3156965</v>
      </c>
      <c r="O64" s="144"/>
      <c r="P64" s="138">
        <f t="shared" si="22"/>
        <v>-343276</v>
      </c>
      <c r="Q64" s="137">
        <f t="shared" si="23"/>
        <v>-0.1087360803809988</v>
      </c>
    </row>
    <row r="65" spans="2:17" x14ac:dyDescent="0.2">
      <c r="I65" s="151"/>
    </row>
    <row r="66" spans="2:17" x14ac:dyDescent="0.2">
      <c r="B66" s="65" t="s">
        <v>193</v>
      </c>
      <c r="I66" s="151"/>
      <c r="K66" s="65" t="s">
        <v>193</v>
      </c>
    </row>
    <row r="67" spans="2:17" x14ac:dyDescent="0.2">
      <c r="B67" s="52" t="str">
        <f>$B$3</f>
        <v xml:space="preserve">Q2'23 vs Q2'22 </v>
      </c>
      <c r="I67" s="151"/>
      <c r="K67" s="52" t="str">
        <f>$B$3</f>
        <v xml:space="preserve">Q2'23 vs Q2'22 </v>
      </c>
    </row>
    <row r="68" spans="2:17" x14ac:dyDescent="0.2">
      <c r="B68" s="44" t="s">
        <v>295</v>
      </c>
      <c r="I68" s="151"/>
      <c r="K68" s="44" t="s">
        <v>202</v>
      </c>
    </row>
    <row r="69" spans="2:17" x14ac:dyDescent="0.2">
      <c r="C69" s="149" t="s">
        <v>203</v>
      </c>
      <c r="D69" s="133"/>
      <c r="E69" s="149" t="s">
        <v>203</v>
      </c>
      <c r="I69" s="151"/>
      <c r="L69" s="149" t="s">
        <v>203</v>
      </c>
      <c r="M69" s="133"/>
      <c r="N69" s="149" t="s">
        <v>203</v>
      </c>
    </row>
    <row r="70" spans="2:17" x14ac:dyDescent="0.2">
      <c r="B70" s="134"/>
      <c r="C70" s="149" t="str">
        <f>$C$6</f>
        <v>Q2'23</v>
      </c>
      <c r="D70" s="133"/>
      <c r="E70" s="149" t="str">
        <f>$E$6</f>
        <v>Q2'22</v>
      </c>
      <c r="G70" s="170" t="s">
        <v>204</v>
      </c>
      <c r="H70" s="149" t="s">
        <v>27</v>
      </c>
      <c r="I70" s="151"/>
      <c r="K70" s="134"/>
      <c r="L70" s="149" t="str">
        <f>$L$6</f>
        <v>JunYTD 2023</v>
      </c>
      <c r="M70" s="133"/>
      <c r="N70" s="149" t="str">
        <f>$N$6</f>
        <v>Jun YTD 2022</v>
      </c>
      <c r="P70" s="170" t="s">
        <v>204</v>
      </c>
      <c r="Q70" s="149" t="s">
        <v>27</v>
      </c>
    </row>
    <row r="71" spans="2:17" x14ac:dyDescent="0.2">
      <c r="H71" s="135"/>
      <c r="I71" s="151"/>
      <c r="L71" s="20">
        <v>0</v>
      </c>
      <c r="Q71" s="135"/>
    </row>
    <row r="72" spans="2:17" x14ac:dyDescent="0.2">
      <c r="B72" s="20" t="s">
        <v>205</v>
      </c>
      <c r="C72" s="80">
        <f>99259.90970389*(('2023 IR Data Book'!$A$5))</f>
        <v>27027.149622580735</v>
      </c>
      <c r="D72" s="136">
        <f>C72/$C$78</f>
        <v>0.52128597470088789</v>
      </c>
      <c r="E72" s="80">
        <f>100489.116192232*(('2023 IR Data Book'!$A$5))</f>
        <v>27361.846155920055</v>
      </c>
      <c r="F72" s="136">
        <f>E72/$E$78</f>
        <v>0.5102913483213054</v>
      </c>
      <c r="G72" s="138">
        <f>C72-E72</f>
        <v>-334.69653333932001</v>
      </c>
      <c r="H72" s="137">
        <f>(C72/E72)-1</f>
        <v>-1.2232235041161665E-2</v>
      </c>
      <c r="I72" s="151"/>
      <c r="K72" s="20" t="s">
        <v>205</v>
      </c>
      <c r="L72" s="80">
        <f>205463.326980312*(('2023 IR Data Book'!$A$5))</f>
        <v>55944.923754373463</v>
      </c>
      <c r="M72" s="136">
        <f>L72/$L$78</f>
        <v>0.53346695225880425</v>
      </c>
      <c r="N72" s="80">
        <f>192095.003479943*(('2023 IR Data Book'!$A$5))</f>
        <v>52304.907553216523</v>
      </c>
      <c r="O72" s="136">
        <f>N72/$N$78</f>
        <v>0.50626309612596399</v>
      </c>
      <c r="P72" s="138">
        <f>L72-N72</f>
        <v>3640.016201156941</v>
      </c>
      <c r="Q72" s="137">
        <f>(L72/N72)-1</f>
        <v>6.9592249971065945E-2</v>
      </c>
    </row>
    <row r="73" spans="2:17" x14ac:dyDescent="0.2">
      <c r="B73" s="20" t="s">
        <v>206</v>
      </c>
      <c r="C73" s="80">
        <f>12384.9166763991*(('2023 IR Data Book'!$A$5))</f>
        <v>3372.2476382941509</v>
      </c>
      <c r="D73" s="136">
        <f t="shared" ref="D73:D76" si="24">C73/$C$78</f>
        <v>6.5042204657506056E-2</v>
      </c>
      <c r="E73" s="80">
        <f>10669.9632503738*(('2023 IR Data Book'!$A$5))</f>
        <v>2905.2886920366495</v>
      </c>
      <c r="F73" s="136">
        <f t="shared" ref="F73:F76" si="25">E73/$E$78</f>
        <v>5.4182882086019554E-2</v>
      </c>
      <c r="G73" s="138">
        <f t="shared" ref="G73:G76" si="26">C73-E73</f>
        <v>466.95894625750134</v>
      </c>
      <c r="H73" s="137">
        <f>(C73/E73)-1</f>
        <v>0.16072721018652247</v>
      </c>
      <c r="I73" s="151"/>
      <c r="K73" s="20" t="s">
        <v>206</v>
      </c>
      <c r="L73" s="80">
        <f>23703.6178279113*(('2023 IR Data Book'!$A$5))</f>
        <v>6454.1790088523931</v>
      </c>
      <c r="M73" s="136">
        <f>L73/$L$78</f>
        <v>6.1544300610760494E-2</v>
      </c>
      <c r="N73" s="80">
        <f>21772.9461907704*(('2023 IR Data Book'!$A$5))</f>
        <v>5928.4828706557746</v>
      </c>
      <c r="O73" s="136">
        <f>N73/$N$78</f>
        <v>5.7382227286689173E-2</v>
      </c>
      <c r="P73" s="138">
        <f t="shared" ref="P73:P76" si="27">L73-N73</f>
        <v>525.69613819661845</v>
      </c>
      <c r="Q73" s="137">
        <f>(L73/N73)-1</f>
        <v>8.8672962318683268E-2</v>
      </c>
    </row>
    <row r="74" spans="2:17" x14ac:dyDescent="0.2">
      <c r="B74" s="20" t="s">
        <v>207</v>
      </c>
      <c r="C74" s="80">
        <f>65568.3614613562*(('2023 IR Data Book'!$A$5))</f>
        <v>17853.390366867123</v>
      </c>
      <c r="D74" s="136">
        <f t="shared" si="24"/>
        <v>0.34434715199608618</v>
      </c>
      <c r="E74" s="80">
        <f>74731.2307101337*(('2023 IR Data Book'!$A$5))</f>
        <v>20348.317461780131</v>
      </c>
      <c r="F74" s="136">
        <f t="shared" si="25"/>
        <v>0.37949085359487483</v>
      </c>
      <c r="G74" s="74">
        <f t="shared" si="26"/>
        <v>-2494.9270949130077</v>
      </c>
      <c r="H74" s="75">
        <f>(C74/E74)-1</f>
        <v>-0.12261097752181149</v>
      </c>
      <c r="I74" s="151"/>
      <c r="K74" s="20" t="s">
        <v>207</v>
      </c>
      <c r="L74" s="80">
        <f>129653.471476023*(('2023 IR Data Book'!$A$5))</f>
        <v>35302.911146333114</v>
      </c>
      <c r="M74" s="136">
        <f>L74/$L$78</f>
        <v>0.33663351652392665</v>
      </c>
      <c r="N74" s="80">
        <f>144249.510702191*(('2023 IR Data Book'!$A$5))</f>
        <v>39277.217966070632</v>
      </c>
      <c r="O74" s="136">
        <f>N74/$N$78</f>
        <v>0.38016711824767274</v>
      </c>
      <c r="P74" s="74">
        <f t="shared" si="27"/>
        <v>-3974.3068197375178</v>
      </c>
      <c r="Q74" s="75">
        <f>(L74/N74)-1</f>
        <v>-0.10118605709728978</v>
      </c>
    </row>
    <row r="75" spans="2:17" x14ac:dyDescent="0.2">
      <c r="B75" s="20" t="s">
        <v>208</v>
      </c>
      <c r="C75" s="80">
        <f>12312.057438282*(('2023 IR Data Book'!$A$5))</f>
        <v>3352.409039449436</v>
      </c>
      <c r="D75" s="136">
        <f t="shared" si="24"/>
        <v>6.4659567809748103E-2</v>
      </c>
      <c r="E75" s="80">
        <f>10331.794318643*(('2023 IR Data Book'!$A$5))</f>
        <v>2813.2098019503892</v>
      </c>
      <c r="F75" s="136">
        <f t="shared" si="25"/>
        <v>5.2465634620103195E-2</v>
      </c>
      <c r="G75" s="138">
        <f t="shared" si="26"/>
        <v>539.19923749904683</v>
      </c>
      <c r="H75" s="137">
        <f>(C75/E75)-1</f>
        <v>0.19166691269354375</v>
      </c>
      <c r="I75" s="151"/>
      <c r="K75" s="20" t="s">
        <v>208</v>
      </c>
      <c r="L75" s="80">
        <f>24494.9110653571*(('2023 IR Data Book'!$A$5))</f>
        <v>6669.6376042468819</v>
      </c>
      <c r="M75" s="136">
        <f>L75/$L$78</f>
        <v>6.3598821959787721E-2</v>
      </c>
      <c r="N75" s="80">
        <f>19895.3908112928*(('2023 IR Data Book'!$A$5))</f>
        <v>5417.24958103055</v>
      </c>
      <c r="O75" s="136">
        <f>N75/$N$78</f>
        <v>5.2433962197318759E-2</v>
      </c>
      <c r="P75" s="138">
        <f t="shared" si="27"/>
        <v>1252.3880232163319</v>
      </c>
      <c r="Q75" s="137">
        <f>(L75/N75)-1</f>
        <v>0.23118521760595789</v>
      </c>
    </row>
    <row r="76" spans="2:17" x14ac:dyDescent="0.2">
      <c r="B76" s="20" t="s">
        <v>209</v>
      </c>
      <c r="C76" s="80">
        <f>888.298381678019*(('2023 IR Data Book'!$A$5))</f>
        <v>241.87180245004058</v>
      </c>
      <c r="D76" s="136">
        <f t="shared" si="24"/>
        <v>4.6651008357717679E-3</v>
      </c>
      <c r="E76" s="80">
        <f>702.880682312328*(('2023 IR Data Book'!$A$5))</f>
        <v>191.38503575459563</v>
      </c>
      <c r="F76" s="136">
        <f t="shared" si="25"/>
        <v>3.5692813776969329E-3</v>
      </c>
      <c r="G76" s="138">
        <f t="shared" si="26"/>
        <v>50.486766695444942</v>
      </c>
      <c r="H76" s="137">
        <f>(C76/E76)-1</f>
        <v>0.26379683498443329</v>
      </c>
      <c r="I76" s="151"/>
      <c r="K76" s="20" t="s">
        <v>209</v>
      </c>
      <c r="L76" s="80">
        <f>1831.91768655068*(('2023 IR Data Book'!$A$5))</f>
        <v>498.80675449291505</v>
      </c>
      <c r="M76" s="136">
        <f>L76/$L$78</f>
        <v>4.7564086467208567E-3</v>
      </c>
      <c r="N76" s="80">
        <f>1424.25365298324*(('2023 IR Data Book'!$A$5))</f>
        <v>387.80527500496652</v>
      </c>
      <c r="O76" s="136">
        <f>N76/$N$78</f>
        <v>3.7535961423551308E-3</v>
      </c>
      <c r="P76" s="138">
        <f t="shared" si="27"/>
        <v>111.00147948794853</v>
      </c>
      <c r="Q76" s="137">
        <f>(L76/N76)-1</f>
        <v>0.28622993714184775</v>
      </c>
    </row>
    <row r="77" spans="2:17" x14ac:dyDescent="0.2">
      <c r="C77" s="80"/>
      <c r="D77" s="136"/>
      <c r="E77" s="80"/>
      <c r="F77" s="136"/>
      <c r="G77" s="138"/>
      <c r="H77" s="137"/>
      <c r="I77" s="151"/>
      <c r="L77" s="80"/>
      <c r="M77" s="136"/>
      <c r="N77" s="80"/>
      <c r="O77" s="136"/>
      <c r="P77" s="138"/>
      <c r="Q77" s="137"/>
    </row>
    <row r="78" spans="2:17" x14ac:dyDescent="0.2">
      <c r="B78" s="65" t="s">
        <v>210</v>
      </c>
      <c r="C78" s="81">
        <f>SUM(C72:C76)</f>
        <v>51847.068469641483</v>
      </c>
      <c r="D78" s="169">
        <f>C78/$C$78</f>
        <v>1</v>
      </c>
      <c r="E78" s="81">
        <f>SUM(E72:E76)</f>
        <v>53620.047147441823</v>
      </c>
      <c r="F78" s="136">
        <f>E78/$E$78</f>
        <v>1</v>
      </c>
      <c r="G78" s="139">
        <f>C78-E78</f>
        <v>-1772.9786778003399</v>
      </c>
      <c r="H78" s="140">
        <f>(C78/E78)-1</f>
        <v>-3.306559341369264E-2</v>
      </c>
      <c r="I78" s="216">
        <f>C78/$C$201</f>
        <v>0.13710265113448897</v>
      </c>
      <c r="K78" s="65" t="s">
        <v>210</v>
      </c>
      <c r="L78" s="81">
        <f>SUM(L72:L76)</f>
        <v>104870.45826829877</v>
      </c>
      <c r="M78" s="136">
        <f>L78/$L$78</f>
        <v>1</v>
      </c>
      <c r="N78" s="81">
        <f>SUM(N72:N76)</f>
        <v>103315.66324597846</v>
      </c>
      <c r="O78" s="136">
        <f>N78/$N$78</f>
        <v>1</v>
      </c>
      <c r="P78" s="139">
        <f>L78-N78</f>
        <v>1554.7950223203079</v>
      </c>
      <c r="Q78" s="140">
        <f>(L78/N78)-1</f>
        <v>1.5048976829569183E-2</v>
      </c>
    </row>
    <row r="79" spans="2:17" x14ac:dyDescent="0.2">
      <c r="C79" s="80"/>
      <c r="D79" s="141"/>
      <c r="E79" s="80"/>
      <c r="F79" s="141"/>
      <c r="G79" s="171"/>
      <c r="H79" s="137"/>
      <c r="I79" s="216">
        <f>E78/$E$201</f>
        <v>0.12984732018775524</v>
      </c>
      <c r="L79" s="80"/>
      <c r="M79" s="141"/>
      <c r="N79" s="80"/>
      <c r="O79" s="141"/>
      <c r="P79" s="171"/>
      <c r="Q79" s="137"/>
    </row>
    <row r="80" spans="2:17" x14ac:dyDescent="0.2">
      <c r="B80" s="65" t="s">
        <v>31</v>
      </c>
      <c r="C80" s="81">
        <f>28063.2392088361*(('2023 IR Data Book'!$A$5))</f>
        <v>7641.2457683483362</v>
      </c>
      <c r="D80" s="136">
        <f>C80/$C$78</f>
        <v>0.14738047866337109</v>
      </c>
      <c r="E80" s="81">
        <f>33871.5837379572*(('2023 IR Data Book'!$A$5))</f>
        <v>9222.7805200558723</v>
      </c>
      <c r="F80" s="136">
        <f>E80/$E$78</f>
        <v>0.17200246942520425</v>
      </c>
      <c r="G80" s="139">
        <f>C80-E80</f>
        <v>-1581.5347517075361</v>
      </c>
      <c r="H80" s="140">
        <f>(C80/E80)-1</f>
        <v>-0.17148133887262396</v>
      </c>
      <c r="I80" s="151"/>
      <c r="K80" s="65" t="s">
        <v>31</v>
      </c>
      <c r="L80" s="81">
        <f>54565.5595210091*(('2023 IR Data Book'!$A$5))</f>
        <v>14857.474138487474</v>
      </c>
      <c r="M80" s="136">
        <f>L80/$L$78</f>
        <v>0.14167454194274967</v>
      </c>
      <c r="N80" s="81">
        <f>67738.9040390063*(('2023 IR Data Book'!$A$5))</f>
        <v>18444.400163101425</v>
      </c>
      <c r="O80" s="136">
        <f>N80/$N$78</f>
        <v>0.17852472300534131</v>
      </c>
      <c r="P80" s="139">
        <f>L80-N80</f>
        <v>-3586.9260246139511</v>
      </c>
      <c r="Q80" s="140">
        <f>(L80/N80)-1</f>
        <v>-0.19447235978916266</v>
      </c>
    </row>
    <row r="81" spans="2:17" x14ac:dyDescent="0.2">
      <c r="I81" s="151"/>
    </row>
    <row r="82" spans="2:17" x14ac:dyDescent="0.2">
      <c r="B82" s="65" t="s">
        <v>211</v>
      </c>
      <c r="C82" s="149" t="str">
        <f>$C$6</f>
        <v>Q2'23</v>
      </c>
      <c r="D82" s="133"/>
      <c r="E82" s="149" t="str">
        <f>$E$6</f>
        <v>Q2'22</v>
      </c>
      <c r="G82" s="170" t="s">
        <v>204</v>
      </c>
      <c r="H82" s="149" t="s">
        <v>27</v>
      </c>
      <c r="I82" s="151"/>
      <c r="K82" s="65" t="s">
        <v>211</v>
      </c>
      <c r="L82" s="149" t="str">
        <f>$L$6</f>
        <v>JunYTD 2023</v>
      </c>
      <c r="M82" s="133"/>
      <c r="N82" s="149" t="str">
        <f>$N$6</f>
        <v>Jun YTD 2022</v>
      </c>
      <c r="P82" s="170" t="s">
        <v>204</v>
      </c>
      <c r="Q82" s="149" t="s">
        <v>27</v>
      </c>
    </row>
    <row r="83" spans="2:17" x14ac:dyDescent="0.2">
      <c r="B83" s="20" t="s">
        <v>206</v>
      </c>
      <c r="C83" s="76">
        <v>7710</v>
      </c>
      <c r="D83" s="76"/>
      <c r="E83" s="76">
        <v>1462</v>
      </c>
      <c r="F83" s="83"/>
      <c r="G83" s="138">
        <f t="shared" ref="G83:G85" si="28">C83-E83</f>
        <v>6248</v>
      </c>
      <c r="H83" s="137">
        <f t="shared" ref="H83:H85" si="29">(C83/E83)-1</f>
        <v>4.2735978112175106</v>
      </c>
      <c r="I83" s="152"/>
      <c r="K83" s="20" t="s">
        <v>206</v>
      </c>
      <c r="L83" s="76">
        <v>7816</v>
      </c>
      <c r="M83" s="76"/>
      <c r="N83" s="76">
        <v>5750</v>
      </c>
      <c r="O83" s="83"/>
      <c r="P83" s="138">
        <f t="shared" ref="P83:P85" si="30">L83-N83</f>
        <v>2066</v>
      </c>
      <c r="Q83" s="137">
        <f t="shared" ref="Q83:Q85" si="31">(L83/N83)-1</f>
        <v>0.35930434782608689</v>
      </c>
    </row>
    <row r="84" spans="2:17" x14ac:dyDescent="0.2">
      <c r="B84" s="65" t="s">
        <v>205</v>
      </c>
      <c r="C84" s="150">
        <v>1491796</v>
      </c>
      <c r="D84" s="77"/>
      <c r="E84" s="150">
        <v>1467280</v>
      </c>
      <c r="F84" s="142"/>
      <c r="G84" s="138">
        <f t="shared" si="28"/>
        <v>24516</v>
      </c>
      <c r="H84" s="137">
        <f t="shared" si="29"/>
        <v>1.6708467368191426E-2</v>
      </c>
      <c r="I84" s="151"/>
      <c r="K84" s="65" t="s">
        <v>205</v>
      </c>
      <c r="L84" s="150">
        <v>3104752</v>
      </c>
      <c r="M84" s="77"/>
      <c r="N84" s="150">
        <v>2658415</v>
      </c>
      <c r="O84" s="142"/>
      <c r="P84" s="138">
        <f t="shared" si="30"/>
        <v>446337</v>
      </c>
      <c r="Q84" s="137">
        <f t="shared" si="31"/>
        <v>0.16789590790000819</v>
      </c>
    </row>
    <row r="85" spans="2:17" x14ac:dyDescent="0.2">
      <c r="B85" s="144"/>
      <c r="C85" s="145">
        <f>C84+C83</f>
        <v>1499506</v>
      </c>
      <c r="D85" s="144"/>
      <c r="E85" s="145">
        <f>E84+E83</f>
        <v>1468742</v>
      </c>
      <c r="F85" s="144"/>
      <c r="G85" s="138">
        <f t="shared" si="28"/>
        <v>30764</v>
      </c>
      <c r="H85" s="137">
        <f t="shared" si="29"/>
        <v>2.0945816215509616E-2</v>
      </c>
      <c r="I85" s="153"/>
      <c r="K85" s="144"/>
      <c r="L85" s="145">
        <f>L84+L83</f>
        <v>3112568</v>
      </c>
      <c r="M85" s="144"/>
      <c r="N85" s="145">
        <f>N84+N83</f>
        <v>2664165</v>
      </c>
      <c r="O85" s="144"/>
      <c r="P85" s="138">
        <f t="shared" si="30"/>
        <v>448403</v>
      </c>
      <c r="Q85" s="137">
        <f t="shared" si="31"/>
        <v>0.16830901989929292</v>
      </c>
    </row>
    <row r="86" spans="2:17" x14ac:dyDescent="0.2">
      <c r="I86" s="151"/>
    </row>
    <row r="87" spans="2:17" x14ac:dyDescent="0.2">
      <c r="B87" s="65" t="s">
        <v>194</v>
      </c>
      <c r="I87" s="151"/>
      <c r="K87" s="65" t="s">
        <v>194</v>
      </c>
    </row>
    <row r="88" spans="2:17" x14ac:dyDescent="0.2">
      <c r="B88" s="52" t="str">
        <f>$B$3</f>
        <v xml:space="preserve">Q2'23 vs Q2'22 </v>
      </c>
      <c r="I88" s="151"/>
      <c r="K88" s="52" t="str">
        <f>$B$3</f>
        <v xml:space="preserve">Q2'23 vs Q2'22 </v>
      </c>
    </row>
    <row r="89" spans="2:17" x14ac:dyDescent="0.2">
      <c r="B89" s="44" t="s">
        <v>295</v>
      </c>
      <c r="I89" s="151"/>
      <c r="K89" s="44" t="s">
        <v>202</v>
      </c>
    </row>
    <row r="90" spans="2:17" x14ac:dyDescent="0.2">
      <c r="C90" s="149" t="s">
        <v>203</v>
      </c>
      <c r="D90" s="133"/>
      <c r="E90" s="149" t="s">
        <v>203</v>
      </c>
      <c r="I90" s="151"/>
      <c r="L90" s="149" t="s">
        <v>203</v>
      </c>
      <c r="M90" s="133"/>
      <c r="N90" s="149" t="s">
        <v>203</v>
      </c>
    </row>
    <row r="91" spans="2:17" x14ac:dyDescent="0.2">
      <c r="B91" s="134"/>
      <c r="C91" s="149" t="str">
        <f>$C$6</f>
        <v>Q2'23</v>
      </c>
      <c r="D91" s="133"/>
      <c r="E91" s="149" t="str">
        <f>$E$6</f>
        <v>Q2'22</v>
      </c>
      <c r="G91" s="170" t="s">
        <v>204</v>
      </c>
      <c r="H91" s="149" t="s">
        <v>27</v>
      </c>
      <c r="I91" s="151"/>
      <c r="K91" s="134"/>
      <c r="L91" s="149" t="str">
        <f>$L$6</f>
        <v>JunYTD 2023</v>
      </c>
      <c r="M91" s="133"/>
      <c r="N91" s="149" t="str">
        <f>$N$6</f>
        <v>Jun YTD 2022</v>
      </c>
      <c r="P91" s="170" t="s">
        <v>204</v>
      </c>
      <c r="Q91" s="149" t="s">
        <v>27</v>
      </c>
    </row>
    <row r="92" spans="2:17" x14ac:dyDescent="0.2">
      <c r="H92" s="135"/>
      <c r="I92" s="151"/>
      <c r="Q92" s="135"/>
    </row>
    <row r="93" spans="2:17" x14ac:dyDescent="0.2">
      <c r="B93" s="20" t="s">
        <v>205</v>
      </c>
      <c r="C93" s="80">
        <f>136209.259714295*(('2023 IR Data Book'!$A$5))</f>
        <v>37087.964851684097</v>
      </c>
      <c r="D93" s="136">
        <f>C93/$C$99</f>
        <v>0.94741904749648975</v>
      </c>
      <c r="E93" s="80">
        <f>63758.0626469947*(('2023 IR Data Book'!$A$5))</f>
        <v>17360.470142949056</v>
      </c>
      <c r="F93" s="136">
        <f>E93/$E$99</f>
        <v>0.83318878322173529</v>
      </c>
      <c r="G93" s="138">
        <f>C93-E93</f>
        <v>19727.494708735041</v>
      </c>
      <c r="H93" s="137">
        <f>(C93/E93)-1</f>
        <v>1.1363456488387413</v>
      </c>
      <c r="I93" s="151"/>
      <c r="K93" s="20" t="s">
        <v>205</v>
      </c>
      <c r="L93" s="80">
        <f>278174.970923964*(('2023 IR Data Book'!$A$5))</f>
        <v>75743.334674063051</v>
      </c>
      <c r="M93" s="136">
        <f>L93/$L$99</f>
        <v>0.94071820680974894</v>
      </c>
      <c r="N93" s="80">
        <f>129527.977095073*(('2023 IR Data Book'!$A$5))</f>
        <v>35268.740700068884</v>
      </c>
      <c r="O93" s="136">
        <f>N93/$N$99</f>
        <v>0.85810902480361839</v>
      </c>
      <c r="P93" s="138">
        <f>L93-N93</f>
        <v>40474.593973994168</v>
      </c>
      <c r="Q93" s="137">
        <f>(L93/N93)-1</f>
        <v>1.1476053063021645</v>
      </c>
    </row>
    <row r="94" spans="2:17" x14ac:dyDescent="0.2">
      <c r="B94" s="20" t="s">
        <v>206</v>
      </c>
      <c r="C94" s="80">
        <f>47.1700415704851*(('2023 IR Data Book'!$A$5))</f>
        <v>12.843773231630205</v>
      </c>
      <c r="D94" s="136">
        <f t="shared" ref="D94:D97" si="32">C94/$C$99</f>
        <v>3.2809660627197923E-4</v>
      </c>
      <c r="E94" s="80">
        <f>0*(('2023 IR Data Book'!$A$5))</f>
        <v>0</v>
      </c>
      <c r="F94" s="136">
        <f t="shared" ref="F94:F97" si="33">E94/$E$99</f>
        <v>0</v>
      </c>
      <c r="G94" s="138">
        <f t="shared" ref="G94:G97" si="34">C94-E94</f>
        <v>12.843773231630205</v>
      </c>
      <c r="H94" s="137" t="e">
        <f>(C94/E94)-1</f>
        <v>#DIV/0!</v>
      </c>
      <c r="I94" s="151"/>
      <c r="K94" s="20" t="s">
        <v>206</v>
      </c>
      <c r="L94" s="80">
        <f>101.772746695772*(('2023 IR Data Book'!$A$5))</f>
        <v>27.711361622766432</v>
      </c>
      <c r="M94" s="136">
        <f>L94/$L$99</f>
        <v>3.4416998573145807E-4</v>
      </c>
      <c r="N94" s="80">
        <f>0*(('2023 IR Data Book'!$A$5))</f>
        <v>0</v>
      </c>
      <c r="O94" s="136">
        <f>N94/$N$99</f>
        <v>0</v>
      </c>
      <c r="P94" s="138">
        <f t="shared" ref="P94:P97" si="35">L94-N94</f>
        <v>27.711361622766432</v>
      </c>
      <c r="Q94" s="137" t="e">
        <f>(L94/N94)-1</f>
        <v>#DIV/0!</v>
      </c>
    </row>
    <row r="95" spans="2:17" x14ac:dyDescent="0.2">
      <c r="B95" s="20" t="s">
        <v>207</v>
      </c>
      <c r="C95" s="80">
        <f>6461.8963913693*(('2023 IR Data Book'!$A$5))</f>
        <v>1759.4882076374502</v>
      </c>
      <c r="D95" s="136">
        <f t="shared" si="32"/>
        <v>4.4946457656208784E-2</v>
      </c>
      <c r="E95" s="80">
        <f>11868.6063597255*(('2023 IR Data Book'!$A$5))</f>
        <v>3231.6632248884985</v>
      </c>
      <c r="F95" s="136">
        <f t="shared" si="33"/>
        <v>0.15509865389336067</v>
      </c>
      <c r="G95" s="74">
        <f t="shared" si="34"/>
        <v>-1472.1750172510483</v>
      </c>
      <c r="H95" s="75">
        <f>(C95/E95)-1</f>
        <v>-0.45554716404641526</v>
      </c>
      <c r="I95" s="151"/>
      <c r="K95" s="20" t="s">
        <v>207</v>
      </c>
      <c r="L95" s="80">
        <f>16206.7703085207*(('2023 IR Data Book'!$A$5))</f>
        <v>4412.8874117847572</v>
      </c>
      <c r="M95" s="136">
        <f>L95/$L$99</f>
        <v>5.4807245426032235E-2</v>
      </c>
      <c r="N95" s="80">
        <f>19931.5879410579*(('2023 IR Data Book'!$A$5))</f>
        <v>5427.1055767189182</v>
      </c>
      <c r="O95" s="136">
        <f>N95/$N$99</f>
        <v>0.13204464297574012</v>
      </c>
      <c r="P95" s="74">
        <f t="shared" si="35"/>
        <v>-1014.218164934161</v>
      </c>
      <c r="Q95" s="75">
        <f>(L95/N95)-1</f>
        <v>-0.18688012433090162</v>
      </c>
    </row>
    <row r="96" spans="2:17" x14ac:dyDescent="0.2">
      <c r="B96" s="20" t="s">
        <v>208</v>
      </c>
      <c r="C96" s="80">
        <f>877.677948*(('2023 IR Data Book'!$A$5))</f>
        <v>238.98</v>
      </c>
      <c r="D96" s="136">
        <f t="shared" si="32"/>
        <v>6.1047891108651671E-3</v>
      </c>
      <c r="E96" s="80">
        <f>0*(('2023 IR Data Book'!$A$5))</f>
        <v>0</v>
      </c>
      <c r="F96" s="136">
        <f t="shared" si="33"/>
        <v>0</v>
      </c>
      <c r="G96" s="138">
        <f t="shared" si="34"/>
        <v>238.98</v>
      </c>
      <c r="H96" s="137" t="e">
        <f>(C96/E96)-1</f>
        <v>#DIV/0!</v>
      </c>
      <c r="I96" s="151"/>
      <c r="K96" s="20" t="s">
        <v>208</v>
      </c>
      <c r="L96" s="80">
        <f>877.677948*(('2023 IR Data Book'!$A$5))</f>
        <v>238.98</v>
      </c>
      <c r="M96" s="136">
        <f>L96/$L$99</f>
        <v>2.9680873971393408E-3</v>
      </c>
      <c r="N96" s="80">
        <f>0*(('2023 IR Data Book'!$A$5))</f>
        <v>0</v>
      </c>
      <c r="O96" s="136">
        <f>N96/$N$99</f>
        <v>0</v>
      </c>
      <c r="P96" s="138">
        <f t="shared" si="35"/>
        <v>238.98</v>
      </c>
      <c r="Q96" s="137" t="e">
        <f>(L96/N96)-1</f>
        <v>#DIV/0!</v>
      </c>
    </row>
    <row r="97" spans="2:17" x14ac:dyDescent="0.2">
      <c r="B97" s="20" t="s">
        <v>209</v>
      </c>
      <c r="C97" s="80">
        <f>172.753852182*(('2023 IR Data Book'!$A$5))</f>
        <v>47.03857</v>
      </c>
      <c r="D97" s="136">
        <f t="shared" si="32"/>
        <v>1.2016091301643187E-3</v>
      </c>
      <c r="E97" s="80">
        <f>896.27985063*(('2023 IR Data Book'!$A$5))</f>
        <v>244.04505</v>
      </c>
      <c r="F97" s="136">
        <f t="shared" si="33"/>
        <v>1.1712562884903908E-2</v>
      </c>
      <c r="G97" s="138">
        <f t="shared" si="34"/>
        <v>-197.00648000000001</v>
      </c>
      <c r="H97" s="137">
        <f>(C97/E97)-1</f>
        <v>-0.8072545622211964</v>
      </c>
      <c r="I97" s="151"/>
      <c r="K97" s="20" t="s">
        <v>209</v>
      </c>
      <c r="L97" s="80">
        <f>343.69494573*(('2023 IR Data Book'!$A$5))</f>
        <v>93.583549999999988</v>
      </c>
      <c r="M97" s="136">
        <f>L97/$L$99</f>
        <v>1.1622903813480598E-3</v>
      </c>
      <c r="N97" s="80">
        <f>1486.262767878*(('2023 IR Data Book'!$A$5))</f>
        <v>404.68952999999999</v>
      </c>
      <c r="O97" s="136">
        <f>N97/$N$99</f>
        <v>9.8463322206413916E-3</v>
      </c>
      <c r="P97" s="138">
        <f t="shared" si="35"/>
        <v>-311.10597999999999</v>
      </c>
      <c r="Q97" s="137">
        <f>(L97/N97)-1</f>
        <v>-0.76875223334787046</v>
      </c>
    </row>
    <row r="98" spans="2:17" x14ac:dyDescent="0.2">
      <c r="C98" s="80"/>
      <c r="D98" s="136"/>
      <c r="E98" s="80"/>
      <c r="F98" s="136"/>
      <c r="G98" s="138"/>
      <c r="H98" s="137"/>
      <c r="I98" s="151"/>
      <c r="L98" s="80"/>
      <c r="M98" s="136"/>
      <c r="N98" s="80"/>
      <c r="O98" s="136"/>
      <c r="P98" s="138"/>
      <c r="Q98" s="137"/>
    </row>
    <row r="99" spans="2:17" x14ac:dyDescent="0.2">
      <c r="B99" s="65" t="s">
        <v>210</v>
      </c>
      <c r="C99" s="81">
        <f>SUM(C93:C97)</f>
        <v>39146.315402553177</v>
      </c>
      <c r="D99" s="136">
        <f>C99/$C$99</f>
        <v>1</v>
      </c>
      <c r="E99" s="81">
        <f>SUM(E93:E97)</f>
        <v>20836.178417837556</v>
      </c>
      <c r="F99" s="136">
        <f>E99/$E$99</f>
        <v>1</v>
      </c>
      <c r="G99" s="139">
        <f>C99-E99</f>
        <v>18310.13698471562</v>
      </c>
      <c r="H99" s="140">
        <f>(C99/E99)-1</f>
        <v>0.87876656733945846</v>
      </c>
      <c r="I99" s="216">
        <f>C99/$C$201</f>
        <v>0.10351720516232368</v>
      </c>
      <c r="K99" s="65" t="s">
        <v>210</v>
      </c>
      <c r="L99" s="81">
        <f>SUM(L93:L97)</f>
        <v>80516.496997470575</v>
      </c>
      <c r="M99" s="136">
        <f>L99/$L$99</f>
        <v>1</v>
      </c>
      <c r="N99" s="81">
        <f>SUM(N93:N97)</f>
        <v>41100.535806787804</v>
      </c>
      <c r="O99" s="136">
        <f>N99/$N$99</f>
        <v>1</v>
      </c>
      <c r="P99" s="139">
        <f>L99-N99</f>
        <v>39415.96119068277</v>
      </c>
      <c r="Q99" s="140">
        <f>(L99/N99)-1</f>
        <v>0.95901331739264517</v>
      </c>
    </row>
    <row r="100" spans="2:17" x14ac:dyDescent="0.2">
      <c r="C100" s="80"/>
      <c r="D100" s="141"/>
      <c r="E100" s="80"/>
      <c r="F100" s="141"/>
      <c r="G100" s="171"/>
      <c r="H100" s="137"/>
      <c r="I100" s="216">
        <f>E99/$E$201</f>
        <v>5.0457283692247314E-2</v>
      </c>
      <c r="L100" s="80"/>
      <c r="M100" s="141"/>
      <c r="N100" s="80"/>
      <c r="O100" s="141"/>
      <c r="P100" s="171"/>
      <c r="Q100" s="137"/>
    </row>
    <row r="101" spans="2:17" x14ac:dyDescent="0.2">
      <c r="B101" s="65" t="s">
        <v>31</v>
      </c>
      <c r="C101" s="81">
        <f>43488.7021463939*(('2023 IR Data Book'!$A$5))</f>
        <v>11841.393603004384</v>
      </c>
      <c r="D101" s="136">
        <f>C101/$C$99</f>
        <v>0.3024906298647988</v>
      </c>
      <c r="E101" s="81">
        <f>11337.1979908746*(('2023 IR Data Book'!$A$5))</f>
        <v>3086.9678132316612</v>
      </c>
      <c r="F101" s="136">
        <f>E101/$E$99</f>
        <v>0.14815422249355245</v>
      </c>
      <c r="G101" s="139">
        <f>C101-E101</f>
        <v>8754.4257897727221</v>
      </c>
      <c r="H101" s="140">
        <f>(C101/E101)-1</f>
        <v>2.835930375512389</v>
      </c>
      <c r="I101" s="151"/>
      <c r="K101" s="65" t="s">
        <v>31</v>
      </c>
      <c r="L101" s="81">
        <f>93232.580033725*(('2023 IR Data Book'!$A$5))</f>
        <v>25385.988137484343</v>
      </c>
      <c r="M101" s="136">
        <f>L101/$L$99</f>
        <v>0.31528927715623101</v>
      </c>
      <c r="N101" s="81">
        <f>19681.2518959965*(('2023 IR Data Book'!$A$5))</f>
        <v>5358.9424102805906</v>
      </c>
      <c r="O101" s="136">
        <f>N101/$N$99</f>
        <v>0.13038619339350693</v>
      </c>
      <c r="P101" s="139">
        <f>L101-N101</f>
        <v>20027.045727203753</v>
      </c>
      <c r="Q101" s="140">
        <f>(L101/N101)-1</f>
        <v>3.7371265063016699</v>
      </c>
    </row>
    <row r="102" spans="2:17" x14ac:dyDescent="0.2">
      <c r="I102" s="151"/>
    </row>
    <row r="103" spans="2:17" x14ac:dyDescent="0.2">
      <c r="B103" s="65" t="s">
        <v>211</v>
      </c>
      <c r="C103" s="149" t="str">
        <f>$C$6</f>
        <v>Q2'23</v>
      </c>
      <c r="D103" s="133"/>
      <c r="E103" s="149" t="str">
        <f>$E$6</f>
        <v>Q2'22</v>
      </c>
      <c r="G103" s="170" t="s">
        <v>204</v>
      </c>
      <c r="H103" s="149" t="s">
        <v>27</v>
      </c>
      <c r="I103" s="151"/>
      <c r="K103" s="65" t="s">
        <v>211</v>
      </c>
      <c r="L103" s="149" t="str">
        <f>$L$6</f>
        <v>JunYTD 2023</v>
      </c>
      <c r="M103" s="133"/>
      <c r="N103" s="149" t="str">
        <f>$N$6</f>
        <v>Jun YTD 2022</v>
      </c>
      <c r="P103" s="170" t="s">
        <v>204</v>
      </c>
      <c r="Q103" s="149" t="s">
        <v>27</v>
      </c>
    </row>
    <row r="104" spans="2:17" x14ac:dyDescent="0.2">
      <c r="B104" s="20" t="s">
        <v>206</v>
      </c>
      <c r="C104" s="76"/>
      <c r="D104" s="76"/>
      <c r="E104" s="76"/>
      <c r="F104" s="83"/>
      <c r="G104" s="138">
        <f t="shared" ref="G104:G106" si="36">C104-E104</f>
        <v>0</v>
      </c>
      <c r="H104" s="137" t="e">
        <f t="shared" ref="H104:H106" si="37">(C104/E104)-1</f>
        <v>#DIV/0!</v>
      </c>
      <c r="I104" s="152"/>
      <c r="K104" s="20" t="s">
        <v>206</v>
      </c>
      <c r="L104" s="76"/>
      <c r="M104" s="76"/>
      <c r="N104" s="76"/>
      <c r="O104" s="83"/>
      <c r="P104" s="138">
        <f t="shared" ref="P104:P106" si="38">L104-N104</f>
        <v>0</v>
      </c>
      <c r="Q104" s="137" t="e">
        <f t="shared" ref="Q104:Q106" si="39">(L104/N104)-1</f>
        <v>#DIV/0!</v>
      </c>
    </row>
    <row r="105" spans="2:17" x14ac:dyDescent="0.2">
      <c r="B105" s="65" t="s">
        <v>205</v>
      </c>
      <c r="C105" s="150">
        <v>1226063</v>
      </c>
      <c r="D105" s="77"/>
      <c r="E105" s="150">
        <v>1186564</v>
      </c>
      <c r="F105" s="142"/>
      <c r="G105" s="138">
        <f t="shared" si="36"/>
        <v>39499</v>
      </c>
      <c r="H105" s="137">
        <v>-4.6455756302732354E-3</v>
      </c>
      <c r="I105" s="151"/>
      <c r="K105" s="65" t="s">
        <v>205</v>
      </c>
      <c r="L105" s="150">
        <v>2429323</v>
      </c>
      <c r="M105" s="77"/>
      <c r="N105" s="150">
        <v>2366289</v>
      </c>
      <c r="O105" s="142"/>
      <c r="P105" s="138">
        <f t="shared" si="38"/>
        <v>63034</v>
      </c>
      <c r="Q105" s="137">
        <v>2.3440676236066826E-2</v>
      </c>
    </row>
    <row r="106" spans="2:17" x14ac:dyDescent="0.2">
      <c r="B106" s="144"/>
      <c r="C106" s="145">
        <f>C105+C104</f>
        <v>1226063</v>
      </c>
      <c r="D106" s="144"/>
      <c r="E106" s="145">
        <f>E105+E104</f>
        <v>1186564</v>
      </c>
      <c r="F106" s="144"/>
      <c r="G106" s="138">
        <f t="shared" si="36"/>
        <v>39499</v>
      </c>
      <c r="H106" s="137">
        <f t="shared" si="37"/>
        <v>3.3288554178282803E-2</v>
      </c>
      <c r="I106" s="153"/>
      <c r="K106" s="144"/>
      <c r="L106" s="145">
        <f>L105+L104</f>
        <v>2429323</v>
      </c>
      <c r="M106" s="144"/>
      <c r="N106" s="145">
        <f>N105+N104</f>
        <v>2366289</v>
      </c>
      <c r="O106" s="144"/>
      <c r="P106" s="138">
        <f t="shared" si="38"/>
        <v>63034</v>
      </c>
      <c r="Q106" s="137">
        <f t="shared" si="39"/>
        <v>2.6638335385069212E-2</v>
      </c>
    </row>
    <row r="107" spans="2:17" x14ac:dyDescent="0.2">
      <c r="I107" s="151"/>
    </row>
    <row r="108" spans="2:17" x14ac:dyDescent="0.2">
      <c r="B108" s="65" t="s">
        <v>213</v>
      </c>
      <c r="I108" s="151"/>
      <c r="K108" s="65" t="s">
        <v>213</v>
      </c>
    </row>
    <row r="109" spans="2:17" x14ac:dyDescent="0.2">
      <c r="B109" s="52" t="str">
        <f>$B$3</f>
        <v xml:space="preserve">Q2'23 vs Q2'22 </v>
      </c>
      <c r="I109" s="151"/>
      <c r="K109" s="52" t="str">
        <f>$B$3</f>
        <v xml:space="preserve">Q2'23 vs Q2'22 </v>
      </c>
    </row>
    <row r="110" spans="2:17" x14ac:dyDescent="0.2">
      <c r="B110" s="44" t="s">
        <v>295</v>
      </c>
      <c r="I110" s="151"/>
      <c r="K110" s="44" t="s">
        <v>202</v>
      </c>
    </row>
    <row r="111" spans="2:17" x14ac:dyDescent="0.2">
      <c r="C111" s="149" t="s">
        <v>203</v>
      </c>
      <c r="D111" s="133"/>
      <c r="E111" s="149" t="s">
        <v>203</v>
      </c>
      <c r="I111" s="151"/>
      <c r="L111" s="149" t="s">
        <v>203</v>
      </c>
      <c r="M111" s="133"/>
      <c r="N111" s="149" t="s">
        <v>203</v>
      </c>
    </row>
    <row r="112" spans="2:17" x14ac:dyDescent="0.2">
      <c r="B112" s="134"/>
      <c r="C112" s="149" t="str">
        <f>$C$6</f>
        <v>Q2'23</v>
      </c>
      <c r="D112" s="133"/>
      <c r="E112" s="149" t="str">
        <f>$E$6</f>
        <v>Q2'22</v>
      </c>
      <c r="G112" s="170" t="s">
        <v>204</v>
      </c>
      <c r="H112" s="149" t="s">
        <v>27</v>
      </c>
      <c r="I112" s="151"/>
      <c r="K112" s="134"/>
      <c r="L112" s="149" t="str">
        <f>$L$6</f>
        <v>JunYTD 2023</v>
      </c>
      <c r="M112" s="133"/>
      <c r="N112" s="149" t="str">
        <f>$N$6</f>
        <v>Jun YTD 2022</v>
      </c>
      <c r="P112" s="170" t="s">
        <v>204</v>
      </c>
      <c r="Q112" s="149" t="s">
        <v>27</v>
      </c>
    </row>
    <row r="113" spans="2:17" x14ac:dyDescent="0.2">
      <c r="H113" s="135"/>
      <c r="I113" s="151"/>
      <c r="Q113" s="135"/>
    </row>
    <row r="114" spans="2:17" x14ac:dyDescent="0.2">
      <c r="B114" s="20" t="s">
        <v>205</v>
      </c>
      <c r="C114" s="80">
        <f>35673.2354330415*(('2023 IR Data Book'!$A$5))</f>
        <v>9713.3462487179368</v>
      </c>
      <c r="D114" s="136">
        <f>C114/$C$120</f>
        <v>0.92969350829441144</v>
      </c>
      <c r="E114" s="80">
        <f>87205.3396743053*(('2023 IR Data Book'!$A$5))</f>
        <v>23744.850970512798</v>
      </c>
      <c r="F114" s="136">
        <f>E114/$E$120</f>
        <v>0.92208486043350424</v>
      </c>
      <c r="G114" s="138">
        <f>C114-E114</f>
        <v>-14031.504721794861</v>
      </c>
      <c r="H114" s="137">
        <f>(C114/E114)-1</f>
        <v>-0.59092831280430791</v>
      </c>
      <c r="I114" s="151"/>
      <c r="K114" s="20" t="s">
        <v>205</v>
      </c>
      <c r="L114" s="80">
        <f>67897.2387700515*(('2023 IR Data Book'!$A$5))</f>
        <v>18487.512598717934</v>
      </c>
      <c r="M114" s="136">
        <f>L114/$L$120</f>
        <v>0.9143051680466423</v>
      </c>
      <c r="N114" s="80">
        <f>169518.472942521*(('2023 IR Data Book'!$A$5))</f>
        <v>46157.619382051133</v>
      </c>
      <c r="O114" s="136">
        <f>N114/$N$120</f>
        <v>0.93864168257614256</v>
      </c>
      <c r="P114" s="138">
        <f>L114-N114</f>
        <v>-27670.106783333198</v>
      </c>
      <c r="Q114" s="137">
        <f>(L114/N114)-1</f>
        <v>-0.59946997167044114</v>
      </c>
    </row>
    <row r="115" spans="2:17" x14ac:dyDescent="0.2">
      <c r="B115" s="20" t="s">
        <v>206</v>
      </c>
      <c r="C115" s="80">
        <f>3.51712659999999*(('2023 IR Data Book'!$A$5))</f>
        <v>0.95766666666666389</v>
      </c>
      <c r="D115" s="136">
        <f t="shared" ref="D115:D118" si="40">C115/$C$120</f>
        <v>9.1661149547454961E-5</v>
      </c>
      <c r="E115" s="80">
        <f>84.1466441592306*(('2023 IR Data Book'!$A$5))</f>
        <v>22.91200897435893</v>
      </c>
      <c r="F115" s="136">
        <f t="shared" ref="F115:F118" si="41">E115/$E$120</f>
        <v>8.8974306992320082E-4</v>
      </c>
      <c r="G115" s="138">
        <f t="shared" ref="G115:G118" si="42">C115-E115</f>
        <v>-21.954342307692265</v>
      </c>
      <c r="H115" s="137">
        <f>(C115/E115)-1</f>
        <v>-0.95820241395076278</v>
      </c>
      <c r="I115" s="151"/>
      <c r="K115" s="20" t="s">
        <v>206</v>
      </c>
      <c r="L115" s="80">
        <f>8.5956732153846*(('2023 IR Data Book'!$A$5))</f>
        <v>2.3404871794871753</v>
      </c>
      <c r="M115" s="136">
        <f>L115/$L$120</f>
        <v>1.1574945588409941E-4</v>
      </c>
      <c r="N115" s="80">
        <f>157.21292699*(('2023 IR Data Book'!$A$5))</f>
        <v>42.806983333333328</v>
      </c>
      <c r="O115" s="136">
        <f>N115/$N$120</f>
        <v>8.7050457540783523E-4</v>
      </c>
      <c r="P115" s="138">
        <f t="shared" ref="P115:P118" si="43">L115-N115</f>
        <v>-40.466496153846151</v>
      </c>
      <c r="Q115" s="137">
        <f>(L115/N115)-1</f>
        <v>-0.94532464104601677</v>
      </c>
    </row>
    <row r="116" spans="2:17" x14ac:dyDescent="0.2">
      <c r="B116" s="20" t="s">
        <v>207</v>
      </c>
      <c r="C116" s="80">
        <f>2009.22160242461*(('2023 IR Data Book'!$A$5))</f>
        <v>547.08424615384467</v>
      </c>
      <c r="D116" s="136">
        <f t="shared" si="40"/>
        <v>5.2363074384021262E-2</v>
      </c>
      <c r="E116" s="80">
        <f>7016.99188583076*(('2023 IR Data Book'!$A$5))</f>
        <v>1910.6333076923052</v>
      </c>
      <c r="F116" s="136">
        <f t="shared" si="41"/>
        <v>7.4195708747588587E-2</v>
      </c>
      <c r="G116" s="74">
        <f t="shared" si="42"/>
        <v>-1363.5490615384606</v>
      </c>
      <c r="H116" s="75">
        <f>(C116/E116)-1</f>
        <v>-0.71366339948578505</v>
      </c>
      <c r="I116" s="151"/>
      <c r="K116" s="20" t="s">
        <v>207</v>
      </c>
      <c r="L116" s="80">
        <f>4647.5456195523*(('2023 IR Data Book'!$A$5))</f>
        <v>1265.4646897435875</v>
      </c>
      <c r="M116" s="136">
        <f>L116/$L$120</f>
        <v>6.2583914392752849E-2</v>
      </c>
      <c r="N116" s="80">
        <f>10439.2846086308*(('2023 IR Data Book'!$A$5))</f>
        <v>2842.4779743589825</v>
      </c>
      <c r="O116" s="136">
        <f>N116/$N$120</f>
        <v>5.780342106585E-2</v>
      </c>
      <c r="P116" s="74">
        <f t="shared" si="43"/>
        <v>-1577.0132846153949</v>
      </c>
      <c r="Q116" s="75">
        <f>(L116/N116)-1</f>
        <v>-0.55480228829953659</v>
      </c>
    </row>
    <row r="117" spans="2:17" x14ac:dyDescent="0.2">
      <c r="B117" s="20" t="s">
        <v>208</v>
      </c>
      <c r="C117" s="80">
        <f>684.989079880768*(('2023 IR Data Book'!$A$5))</f>
        <v>186.51339102564069</v>
      </c>
      <c r="D117" s="136">
        <f t="shared" si="40"/>
        <v>1.7851756172019746E-2</v>
      </c>
      <c r="E117" s="80">
        <f>267.615153345384*(('2023 IR Data Book'!$A$5))</f>
        <v>72.868037179487004</v>
      </c>
      <c r="F117" s="136">
        <f t="shared" si="41"/>
        <v>2.8296877489839903E-3</v>
      </c>
      <c r="G117" s="138">
        <f t="shared" si="42"/>
        <v>113.64535384615368</v>
      </c>
      <c r="H117" s="137">
        <f>(C117/E117)-1</f>
        <v>1.5596049824455247</v>
      </c>
      <c r="I117" s="151"/>
      <c r="K117" s="20" t="s">
        <v>208</v>
      </c>
      <c r="L117" s="80">
        <f>1707.64474918077*(('2023 IR Data Book'!$A$5))</f>
        <v>464.96889102564126</v>
      </c>
      <c r="M117" s="136">
        <f>L117/$L$120</f>
        <v>2.2995168104720652E-2</v>
      </c>
      <c r="N117" s="80">
        <f>484.800541263845*(('2023 IR Data Book'!$A$5))</f>
        <v>132.00472179487147</v>
      </c>
      <c r="O117" s="136">
        <f>N117/$N$120</f>
        <v>2.684391782599506E-3</v>
      </c>
      <c r="P117" s="138">
        <f t="shared" si="43"/>
        <v>332.96416923076981</v>
      </c>
      <c r="Q117" s="137">
        <f>(L117/N117)-1</f>
        <v>2.522365599528924</v>
      </c>
    </row>
    <row r="118" spans="2:17" x14ac:dyDescent="0.2">
      <c r="B118" s="20" t="s">
        <v>209</v>
      </c>
      <c r="C118" s="80"/>
      <c r="D118" s="136">
        <f t="shared" si="40"/>
        <v>0</v>
      </c>
      <c r="E118" s="80"/>
      <c r="F118" s="136">
        <f t="shared" si="41"/>
        <v>0</v>
      </c>
      <c r="G118" s="138">
        <f t="shared" si="42"/>
        <v>0</v>
      </c>
      <c r="H118" s="137" t="e">
        <f>(C118/E118)-1</f>
        <v>#DIV/0!</v>
      </c>
      <c r="I118" s="151"/>
      <c r="K118" s="20" t="s">
        <v>209</v>
      </c>
      <c r="L118" s="80">
        <f>0*(('2023 IR Data Book'!$A$5))</f>
        <v>0</v>
      </c>
      <c r="M118" s="136">
        <f>L118/$L$120</f>
        <v>0</v>
      </c>
      <c r="N118" s="80">
        <f>0*(('2023 IR Data Book'!$A$5))</f>
        <v>0</v>
      </c>
      <c r="O118" s="136">
        <f>N118/$N$120</f>
        <v>0</v>
      </c>
      <c r="P118" s="138">
        <f t="shared" si="43"/>
        <v>0</v>
      </c>
      <c r="Q118" s="137" t="e">
        <f>(L118/N118)-1</f>
        <v>#DIV/0!</v>
      </c>
    </row>
    <row r="119" spans="2:17" x14ac:dyDescent="0.2">
      <c r="C119" s="80"/>
      <c r="D119" s="136"/>
      <c r="E119" s="80"/>
      <c r="F119" s="136"/>
      <c r="G119" s="138"/>
      <c r="H119" s="137"/>
      <c r="I119" s="151"/>
      <c r="L119" s="80"/>
      <c r="M119" s="136"/>
      <c r="N119" s="80"/>
      <c r="O119" s="136"/>
      <c r="P119" s="138"/>
      <c r="Q119" s="137"/>
    </row>
    <row r="120" spans="2:17" x14ac:dyDescent="0.2">
      <c r="B120" s="65" t="s">
        <v>210</v>
      </c>
      <c r="C120" s="81">
        <f>SUM(C114:C118)</f>
        <v>10447.90155256409</v>
      </c>
      <c r="D120" s="136">
        <f>C120/$C$120</f>
        <v>1</v>
      </c>
      <c r="E120" s="81">
        <f>SUM(E114:E118)</f>
        <v>25751.264324358948</v>
      </c>
      <c r="F120" s="136">
        <f>E120/$E$120</f>
        <v>1</v>
      </c>
      <c r="G120" s="139">
        <f>C120-E120</f>
        <v>-15303.362771794858</v>
      </c>
      <c r="H120" s="140">
        <f>(C120/E120)-1</f>
        <v>-0.59427617141574351</v>
      </c>
      <c r="I120" s="216">
        <f>C120/$C$201</f>
        <v>2.7628080891158344E-2</v>
      </c>
      <c r="K120" s="65" t="s">
        <v>210</v>
      </c>
      <c r="L120" s="81">
        <f>SUM(L114:L118)</f>
        <v>20220.286666666652</v>
      </c>
      <c r="M120" s="136">
        <f>L120/$L$120</f>
        <v>1</v>
      </c>
      <c r="N120" s="81">
        <f>SUM(N114:N118)</f>
        <v>49174.909061538325</v>
      </c>
      <c r="O120" s="136">
        <f>N120/$N$120</f>
        <v>1</v>
      </c>
      <c r="P120" s="139">
        <f>L120-N120</f>
        <v>-28954.622394871672</v>
      </c>
      <c r="Q120" s="140">
        <f>(L120/N120)-1</f>
        <v>-0.58880886507867991</v>
      </c>
    </row>
    <row r="121" spans="2:17" x14ac:dyDescent="0.2">
      <c r="C121" s="80"/>
      <c r="D121" s="141"/>
      <c r="E121" s="80"/>
      <c r="F121" s="141"/>
      <c r="G121" s="171"/>
      <c r="H121" s="137"/>
      <c r="I121" s="216">
        <f>E120/$E$201</f>
        <v>6.2359748673292283E-2</v>
      </c>
      <c r="L121" s="80"/>
      <c r="M121" s="141"/>
      <c r="N121" s="80"/>
      <c r="O121" s="141"/>
      <c r="P121" s="171"/>
      <c r="Q121" s="137"/>
    </row>
    <row r="122" spans="2:17" x14ac:dyDescent="0.2">
      <c r="B122" s="65" t="s">
        <v>31</v>
      </c>
      <c r="C122" s="81">
        <f>8941.7273781446*(('2023 IR Data Book'!$A$5))</f>
        <v>2434.7131128205087</v>
      </c>
      <c r="D122" s="136">
        <f>C122/$C$120</f>
        <v>0.23303369586431349</v>
      </c>
      <c r="E122" s="81">
        <f>25973.0359509631*(('2023 IR Data Book'!$A$5))</f>
        <v>7072.1112974359039</v>
      </c>
      <c r="F122" s="136">
        <f>E122/$E$120</f>
        <v>0.27463161452411355</v>
      </c>
      <c r="G122" s="139">
        <f>C122-E122</f>
        <v>-4637.3981846153947</v>
      </c>
      <c r="H122" s="140">
        <f>(C122/E122)-1</f>
        <v>-0.65573037379894616</v>
      </c>
      <c r="I122" s="151"/>
      <c r="K122" s="65" t="s">
        <v>31</v>
      </c>
      <c r="L122" s="81">
        <f>18028.0781234823*(('2023 IR Data Book'!$A$5))</f>
        <v>4908.8052397435877</v>
      </c>
      <c r="M122" s="136">
        <f>L122/$L$120</f>
        <v>0.24276635245907779</v>
      </c>
      <c r="N122" s="81">
        <f>51140.6416801353*(('2023 IR Data Book'!$A$5))</f>
        <v>13924.914687179462</v>
      </c>
      <c r="O122" s="136">
        <f>N122/$N$120</f>
        <v>0.2831711324519906</v>
      </c>
      <c r="P122" s="139">
        <f>L122-N122</f>
        <v>-9016.1094474358742</v>
      </c>
      <c r="Q122" s="140">
        <f>(L122/N122)-1</f>
        <v>-0.64748040831710951</v>
      </c>
    </row>
    <row r="123" spans="2:17" x14ac:dyDescent="0.2">
      <c r="I123" s="151"/>
    </row>
    <row r="124" spans="2:17" x14ac:dyDescent="0.2">
      <c r="B124" s="65" t="s">
        <v>211</v>
      </c>
      <c r="C124" s="149" t="str">
        <f>$C$6</f>
        <v>Q2'23</v>
      </c>
      <c r="D124" s="133"/>
      <c r="E124" s="149" t="str">
        <f>$E$6</f>
        <v>Q2'22</v>
      </c>
      <c r="G124" s="170" t="s">
        <v>204</v>
      </c>
      <c r="H124" s="149" t="s">
        <v>27</v>
      </c>
      <c r="I124" s="151"/>
      <c r="K124" s="65" t="s">
        <v>211</v>
      </c>
      <c r="L124" s="149" t="str">
        <f>$L$6</f>
        <v>JunYTD 2023</v>
      </c>
      <c r="M124" s="133"/>
      <c r="N124" s="149" t="str">
        <f>$N$6</f>
        <v>Jun YTD 2022</v>
      </c>
      <c r="P124" s="170" t="s">
        <v>204</v>
      </c>
      <c r="Q124" s="149" t="s">
        <v>27</v>
      </c>
    </row>
    <row r="125" spans="2:17" x14ac:dyDescent="0.2">
      <c r="B125" s="20" t="s">
        <v>206</v>
      </c>
      <c r="C125" s="76">
        <v>67</v>
      </c>
      <c r="D125" s="76"/>
      <c r="E125" s="76">
        <v>213</v>
      </c>
      <c r="F125" s="83"/>
      <c r="G125" s="138">
        <f t="shared" ref="G125:G127" si="44">C125-E125</f>
        <v>-146</v>
      </c>
      <c r="H125" s="137">
        <f t="shared" ref="H125:H127" si="45">(C125/E125)-1</f>
        <v>-0.68544600938967137</v>
      </c>
      <c r="I125" s="152"/>
      <c r="K125" s="20" t="s">
        <v>206</v>
      </c>
      <c r="L125" s="76">
        <v>167</v>
      </c>
      <c r="M125" s="76"/>
      <c r="N125" s="76">
        <v>642</v>
      </c>
      <c r="O125" s="83"/>
      <c r="P125" s="138">
        <f t="shared" ref="P125:P127" si="46">L125-N125</f>
        <v>-475</v>
      </c>
      <c r="Q125" s="137">
        <f t="shared" ref="Q125:Q127" si="47">(L125/N125)-1</f>
        <v>-0.73987538940809972</v>
      </c>
    </row>
    <row r="126" spans="2:17" x14ac:dyDescent="0.2">
      <c r="B126" s="65" t="s">
        <v>205</v>
      </c>
      <c r="C126" s="150">
        <v>228672</v>
      </c>
      <c r="D126" s="77"/>
      <c r="E126" s="150">
        <v>492057</v>
      </c>
      <c r="F126" s="142"/>
      <c r="G126" s="138">
        <f>C126-E126</f>
        <v>-263385</v>
      </c>
      <c r="H126" s="137">
        <v>-0.55650563316809376</v>
      </c>
      <c r="I126" s="151"/>
      <c r="K126" s="65" t="s">
        <v>205</v>
      </c>
      <c r="L126" s="150">
        <v>435295</v>
      </c>
      <c r="M126" s="77"/>
      <c r="N126" s="150">
        <v>866955</v>
      </c>
      <c r="O126" s="142"/>
      <c r="P126" s="138">
        <f t="shared" si="46"/>
        <v>-431660</v>
      </c>
      <c r="Q126" s="137">
        <v>-0.55545761783676606</v>
      </c>
    </row>
    <row r="127" spans="2:17" x14ac:dyDescent="0.2">
      <c r="B127" s="144"/>
      <c r="C127" s="145">
        <f>C126+C125</f>
        <v>228739</v>
      </c>
      <c r="D127" s="144"/>
      <c r="E127" s="145">
        <f>E126+E125</f>
        <v>492270</v>
      </c>
      <c r="F127" s="144"/>
      <c r="G127" s="138">
        <f t="shared" si="44"/>
        <v>-263531</v>
      </c>
      <c r="H127" s="137">
        <f t="shared" si="45"/>
        <v>-0.53533833059093583</v>
      </c>
      <c r="I127" s="153"/>
      <c r="K127" s="144"/>
      <c r="L127" s="145">
        <f>L126+L125</f>
        <v>435462</v>
      </c>
      <c r="M127" s="144"/>
      <c r="N127" s="145">
        <f>N126+N125</f>
        <v>867597</v>
      </c>
      <c r="O127" s="144"/>
      <c r="P127" s="138">
        <f t="shared" si="46"/>
        <v>-432135</v>
      </c>
      <c r="Q127" s="137">
        <f t="shared" si="47"/>
        <v>-0.49808263514050877</v>
      </c>
    </row>
    <row r="128" spans="2:17" x14ac:dyDescent="0.2">
      <c r="I128" s="151"/>
    </row>
    <row r="129" spans="2:17" x14ac:dyDescent="0.2">
      <c r="B129" s="65" t="s">
        <v>214</v>
      </c>
      <c r="I129" s="151"/>
      <c r="K129" s="65" t="s">
        <v>214</v>
      </c>
    </row>
    <row r="130" spans="2:17" x14ac:dyDescent="0.2">
      <c r="B130" s="52" t="str">
        <f>$B$3</f>
        <v xml:space="preserve">Q2'23 vs Q2'22 </v>
      </c>
      <c r="I130" s="151"/>
      <c r="K130" s="52" t="str">
        <f>$B$3</f>
        <v xml:space="preserve">Q2'23 vs Q2'22 </v>
      </c>
    </row>
    <row r="131" spans="2:17" x14ac:dyDescent="0.2">
      <c r="B131" s="44" t="s">
        <v>295</v>
      </c>
      <c r="I131" s="151"/>
      <c r="K131" s="44" t="s">
        <v>202</v>
      </c>
    </row>
    <row r="132" spans="2:17" x14ac:dyDescent="0.2">
      <c r="C132" s="149" t="s">
        <v>203</v>
      </c>
      <c r="D132" s="133"/>
      <c r="E132" s="149" t="s">
        <v>203</v>
      </c>
      <c r="I132" s="151"/>
      <c r="L132" s="149" t="s">
        <v>203</v>
      </c>
      <c r="M132" s="133"/>
      <c r="N132" s="149" t="s">
        <v>203</v>
      </c>
    </row>
    <row r="133" spans="2:17" x14ac:dyDescent="0.2">
      <c r="B133" s="134"/>
      <c r="C133" s="149" t="str">
        <f>$C$6</f>
        <v>Q2'23</v>
      </c>
      <c r="D133" s="133"/>
      <c r="E133" s="149" t="str">
        <f>$E$6</f>
        <v>Q2'22</v>
      </c>
      <c r="G133" s="170" t="s">
        <v>204</v>
      </c>
      <c r="H133" s="149" t="s">
        <v>27</v>
      </c>
      <c r="I133" s="151"/>
      <c r="K133" s="134"/>
      <c r="L133" s="149" t="str">
        <f>$L$6</f>
        <v>JunYTD 2023</v>
      </c>
      <c r="M133" s="133"/>
      <c r="N133" s="149" t="str">
        <f>$N$6</f>
        <v>Jun YTD 2022</v>
      </c>
      <c r="P133" s="170" t="s">
        <v>204</v>
      </c>
      <c r="Q133" s="149" t="s">
        <v>27</v>
      </c>
    </row>
    <row r="134" spans="2:17" x14ac:dyDescent="0.2">
      <c r="H134" s="135"/>
      <c r="I134" s="151"/>
      <c r="Q134" s="135"/>
    </row>
    <row r="135" spans="2:17" x14ac:dyDescent="0.2">
      <c r="B135" s="20" t="s">
        <v>205</v>
      </c>
      <c r="C135" s="80">
        <f>77012.002731832*(('2023 IR Data Book'!$A$5))</f>
        <v>20969.341265542669</v>
      </c>
      <c r="D135" s="136">
        <f>C135/$C$141</f>
        <v>0.78173496070345427</v>
      </c>
      <c r="E135" s="80">
        <f>102020.523961343*(('2023 IR Data Book'!$A$5))</f>
        <v>27778.828067674942</v>
      </c>
      <c r="F135" s="136">
        <f>E135/$E$141</f>
        <v>0.75921974877905352</v>
      </c>
      <c r="G135" s="138">
        <f>C135-E135</f>
        <v>-6809.4868021322727</v>
      </c>
      <c r="H135" s="137">
        <f>(C135/E135)-1</f>
        <v>-0.24513225631919966</v>
      </c>
      <c r="I135" s="151"/>
      <c r="K135" s="20" t="s">
        <v>205</v>
      </c>
      <c r="L135" s="80">
        <f>148409.459840512*(('2023 IR Data Book'!$A$5))</f>
        <v>40409.916636854541</v>
      </c>
      <c r="M135" s="136">
        <f>L135/$L$141</f>
        <v>0.75317060376688527</v>
      </c>
      <c r="N135" s="80">
        <f>196471.549140914*(('2023 IR Data Book'!$A$5))</f>
        <v>53496.582568456673</v>
      </c>
      <c r="O135" s="136">
        <f>N135/$N$141</f>
        <v>0.75983031713830296</v>
      </c>
      <c r="P135" s="138">
        <f>L135-N135</f>
        <v>-13086.665931602132</v>
      </c>
      <c r="Q135" s="137">
        <f>(L135/N135)-1</f>
        <v>-0.24462620420390102</v>
      </c>
    </row>
    <row r="136" spans="2:17" x14ac:dyDescent="0.2">
      <c r="B136" s="20" t="s">
        <v>206</v>
      </c>
      <c r="C136" s="80">
        <f>3309.07751071514*(('2023 IR Data Book'!$A$5))</f>
        <v>901.01767432204429</v>
      </c>
      <c r="D136" s="136">
        <f t="shared" ref="D136:D139" si="48">C136/$C$141</f>
        <v>3.3589849452575683E-2</v>
      </c>
      <c r="E136" s="80">
        <f>3563.78924164077*(('2023 IR Data Book'!$A$5))</f>
        <v>970.37228166442571</v>
      </c>
      <c r="F136" s="136">
        <f t="shared" ref="F136:F139" si="49">E136/$E$141</f>
        <v>2.6521126021321225E-2</v>
      </c>
      <c r="G136" s="138">
        <f t="shared" ref="G136:G139" si="50">C136-E136</f>
        <v>-69.354607342381428</v>
      </c>
      <c r="H136" s="137">
        <f>(C136/E136)-1</f>
        <v>-7.1472164501052426E-2</v>
      </c>
      <c r="I136" s="151"/>
      <c r="K136" s="20" t="s">
        <v>206</v>
      </c>
      <c r="L136" s="80">
        <f>6624.30092784304*(('2023 IR Data Book'!$A$5))</f>
        <v>1803.7087969947829</v>
      </c>
      <c r="M136" s="136">
        <f>L136/$L$141</f>
        <v>3.3617996687803783E-2</v>
      </c>
      <c r="N136" s="80">
        <f>7082.50283655379*(('2023 IR Data Book'!$A$5))</f>
        <v>1928.4710658807901</v>
      </c>
      <c r="O136" s="136">
        <f>N136/$N$141</f>
        <v>2.7390736215816461E-2</v>
      </c>
      <c r="P136" s="138">
        <f t="shared" ref="P136:P139" si="51">L136-N136</f>
        <v>-124.76226888600718</v>
      </c>
      <c r="Q136" s="137">
        <f>(L136/N136)-1</f>
        <v>-6.4694913547497013E-2</v>
      </c>
    </row>
    <row r="137" spans="2:17" x14ac:dyDescent="0.2">
      <c r="B137" s="20" t="s">
        <v>207</v>
      </c>
      <c r="C137" s="80">
        <f>13355.8500425192*(('2023 IR Data Book'!$A$5))</f>
        <v>3636.6198449379726</v>
      </c>
      <c r="D137" s="136">
        <f t="shared" si="48"/>
        <v>0.13557282680345642</v>
      </c>
      <c r="E137" s="80">
        <f>23131.2792886066*(('2023 IR Data Book'!$A$5))</f>
        <v>6298.3388576503294</v>
      </c>
      <c r="F137" s="136">
        <f t="shared" si="49"/>
        <v>0.17213912817276267</v>
      </c>
      <c r="G137" s="74">
        <f t="shared" si="50"/>
        <v>-2661.7190127123567</v>
      </c>
      <c r="H137" s="75">
        <f>(C137/E137)-1</f>
        <v>-0.42260651147393857</v>
      </c>
      <c r="I137" s="151"/>
      <c r="K137" s="20" t="s">
        <v>207</v>
      </c>
      <c r="L137" s="80">
        <f>32738.7747091244*(('2023 IR Data Book'!$A$5))</f>
        <v>8914.3317293264699</v>
      </c>
      <c r="M137" s="136">
        <f>L137/$L$141</f>
        <v>0.16614764814020488</v>
      </c>
      <c r="N137" s="80">
        <f>44062.7547277583*(('2023 IR Data Book'!$A$5))</f>
        <v>11997.700464999809</v>
      </c>
      <c r="O137" s="136">
        <f>N137/$N$141</f>
        <v>0.17040745616947853</v>
      </c>
      <c r="P137" s="74">
        <f t="shared" si="51"/>
        <v>-3083.368735673339</v>
      </c>
      <c r="Q137" s="75">
        <f>(L137/N137)-1</f>
        <v>-0.25699664237061681</v>
      </c>
    </row>
    <row r="138" spans="2:17" x14ac:dyDescent="0.2">
      <c r="B138" s="20" t="s">
        <v>208</v>
      </c>
      <c r="C138" s="80">
        <f>4675.42323794476*(('2023 IR Data Book'!$A$5))</f>
        <v>1273.0553934391876</v>
      </c>
      <c r="D138" s="136">
        <f t="shared" si="48"/>
        <v>4.7459378688200729E-2</v>
      </c>
      <c r="E138" s="80">
        <f>5391.61088354446*(('2023 IR Data Book'!$A$5))</f>
        <v>1468.0637378272777</v>
      </c>
      <c r="F138" s="136">
        <f t="shared" si="49"/>
        <v>4.0123470274178251E-2</v>
      </c>
      <c r="G138" s="138">
        <f t="shared" si="50"/>
        <v>-195.00834438809011</v>
      </c>
      <c r="H138" s="137">
        <f>(C138/E138)-1</f>
        <v>-0.13283370426184682</v>
      </c>
      <c r="I138" s="151"/>
      <c r="K138" s="20" t="s">
        <v>208</v>
      </c>
      <c r="L138" s="80">
        <f>8923.57367359964*(('2023 IR Data Book'!$A$5))</f>
        <v>2429.7701011816257</v>
      </c>
      <c r="M138" s="136">
        <f>L138/$L$141</f>
        <v>4.5286691149782544E-2</v>
      </c>
      <c r="N138" s="80">
        <f>10398.0883909169*(('2023 IR Data Book'!$A$5))</f>
        <v>2831.2607936929967</v>
      </c>
      <c r="O138" s="136">
        <f>N138/$N$141</f>
        <v>4.021336847115644E-2</v>
      </c>
      <c r="P138" s="138">
        <f t="shared" si="51"/>
        <v>-401.49069251137098</v>
      </c>
      <c r="Q138" s="137">
        <f>(L138/N138)-1</f>
        <v>-0.14180632649798419</v>
      </c>
    </row>
    <row r="139" spans="2:17" x14ac:dyDescent="0.2">
      <c r="B139" s="20" t="s">
        <v>209</v>
      </c>
      <c r="C139" s="80">
        <f>161.857306873951*(('2023 IR Data Book'!$A$5))</f>
        <v>44.071586035492835</v>
      </c>
      <c r="D139" s="136">
        <f t="shared" si="48"/>
        <v>1.6429843523128574E-3</v>
      </c>
      <c r="E139" s="80">
        <f>268.284255960468*(('2023 IR Data Book'!$A$5))</f>
        <v>73.05022489801992</v>
      </c>
      <c r="F139" s="136">
        <f t="shared" si="49"/>
        <v>1.9965267526842103E-3</v>
      </c>
      <c r="G139" s="138">
        <f t="shared" si="50"/>
        <v>-28.978638862527085</v>
      </c>
      <c r="H139" s="137">
        <f>(C139/E139)-1</f>
        <v>-0.39669472480039647</v>
      </c>
      <c r="I139" s="151"/>
      <c r="K139" s="20" t="s">
        <v>209</v>
      </c>
      <c r="L139" s="80">
        <f>350.163098875041*(('2023 IR Data Book'!$A$5))</f>
        <v>95.344741838218425</v>
      </c>
      <c r="M139" s="136">
        <f>L139/$L$141</f>
        <v>1.7770602553234679E-3</v>
      </c>
      <c r="N139" s="80">
        <f>558.031923762422*(('2023 IR Data Book'!$A$5))</f>
        <v>151.94465059152154</v>
      </c>
      <c r="O139" s="136">
        <f>N139/$N$141</f>
        <v>2.1581220052455984E-3</v>
      </c>
      <c r="P139" s="138">
        <f t="shared" si="51"/>
        <v>-56.599908753303112</v>
      </c>
      <c r="Q139" s="137">
        <f>(L139/N139)-1</f>
        <v>-0.37250346447182769</v>
      </c>
    </row>
    <row r="140" spans="2:17" x14ac:dyDescent="0.2">
      <c r="C140" s="80"/>
      <c r="D140" s="136"/>
      <c r="E140" s="80"/>
      <c r="F140" s="136"/>
      <c r="G140" s="138"/>
      <c r="H140" s="137"/>
      <c r="I140" s="151"/>
      <c r="L140" s="80"/>
      <c r="M140" s="136"/>
      <c r="N140" s="80"/>
      <c r="O140" s="136"/>
      <c r="P140" s="138"/>
      <c r="Q140" s="137"/>
    </row>
    <row r="141" spans="2:17" x14ac:dyDescent="0.2">
      <c r="B141" s="65" t="s">
        <v>210</v>
      </c>
      <c r="C141" s="238">
        <f>(SUM(C135:C139))</f>
        <v>26824.105764277367</v>
      </c>
      <c r="D141" s="239">
        <f>C141/$C$141</f>
        <v>1</v>
      </c>
      <c r="E141" s="238">
        <f>(SUM(E135:E139))</f>
        <v>36588.653169714999</v>
      </c>
      <c r="F141" s="136">
        <f>E141/$E$141</f>
        <v>1</v>
      </c>
      <c r="G141" s="139">
        <f>C141-E141</f>
        <v>-9764.5474054376318</v>
      </c>
      <c r="H141" s="140">
        <f>(C141/E141)-1</f>
        <v>-0.2668736496023828</v>
      </c>
      <c r="I141" s="216">
        <f>C141/$C$201</f>
        <v>7.0932766753201648E-2</v>
      </c>
      <c r="K141" s="65" t="s">
        <v>210</v>
      </c>
      <c r="L141" s="81">
        <f>SUM(L135:L139)</f>
        <v>53653.072006195638</v>
      </c>
      <c r="M141" s="136">
        <f>L141/$L$141</f>
        <v>1</v>
      </c>
      <c r="N141" s="81">
        <f>SUM(N135:N139)</f>
        <v>70405.959543621793</v>
      </c>
      <c r="O141" s="136">
        <f>N141/$N$141</f>
        <v>1</v>
      </c>
      <c r="P141" s="139">
        <f>L141-N141</f>
        <v>-16752.887537426155</v>
      </c>
      <c r="Q141" s="140">
        <f>(L141/N141)-1</f>
        <v>-0.23794700968525939</v>
      </c>
    </row>
    <row r="142" spans="2:17" x14ac:dyDescent="0.2">
      <c r="C142" s="80"/>
      <c r="D142" s="141"/>
      <c r="E142" s="80"/>
      <c r="F142" s="141"/>
      <c r="G142" s="171"/>
      <c r="H142" s="137"/>
      <c r="I142" s="216">
        <f>E141/$E$201</f>
        <v>8.8603774448441017E-2</v>
      </c>
      <c r="L142" s="80"/>
      <c r="M142" s="141"/>
      <c r="N142" s="80"/>
      <c r="O142" s="141"/>
      <c r="P142" s="171"/>
      <c r="Q142" s="137"/>
    </row>
    <row r="143" spans="2:17" x14ac:dyDescent="0.2">
      <c r="B143" s="65" t="s">
        <v>31</v>
      </c>
      <c r="C143" s="81">
        <f>20157.7776932805*(('2023 IR Data Book'!$A$5))</f>
        <v>5488.6940296467073</v>
      </c>
      <c r="D143" s="136">
        <f>C143/$C$141</f>
        <v>0.2046179685496245</v>
      </c>
      <c r="E143" s="81">
        <f>19779.3884173952*(('2023 IR Data Book'!$A$5))</f>
        <v>5385.6636762498501</v>
      </c>
      <c r="F143" s="136">
        <f>E143/$E$141</f>
        <v>0.14719491453453248</v>
      </c>
      <c r="G143" s="139">
        <f>C143-E143</f>
        <v>103.03035339685721</v>
      </c>
      <c r="H143" s="140">
        <f>(C143/E143)-1</f>
        <v>1.9130484113073942E-2</v>
      </c>
      <c r="I143" s="151"/>
      <c r="K143" s="65" t="s">
        <v>31</v>
      </c>
      <c r="L143" s="81">
        <f>40518.1369722768*(('2023 IR Data Book'!$A$5))</f>
        <v>11032.548323334095</v>
      </c>
      <c r="M143" s="136">
        <f>L143/$L$141</f>
        <v>0.20562752347265598</v>
      </c>
      <c r="N143" s="81">
        <f>35342.9078756592*(('2023 IR Data Book'!$A$5))</f>
        <v>9623.4024602894951</v>
      </c>
      <c r="O143" s="136">
        <f>N143/$N$141</f>
        <v>0.13668448697623492</v>
      </c>
      <c r="P143" s="139">
        <f>L143-N143</f>
        <v>1409.1458630445995</v>
      </c>
      <c r="Q143" s="140">
        <f>(L143/N143)-1</f>
        <v>0.14642906901788333</v>
      </c>
    </row>
    <row r="144" spans="2:17" x14ac:dyDescent="0.2">
      <c r="I144" s="151"/>
    </row>
    <row r="145" spans="2:17" x14ac:dyDescent="0.2">
      <c r="B145" s="65" t="s">
        <v>211</v>
      </c>
      <c r="C145" s="149" t="str">
        <f>$C$6</f>
        <v>Q2'23</v>
      </c>
      <c r="D145" s="133"/>
      <c r="E145" s="149" t="str">
        <f>$E$6</f>
        <v>Q2'22</v>
      </c>
      <c r="G145" s="170" t="s">
        <v>204</v>
      </c>
      <c r="H145" s="149" t="s">
        <v>27</v>
      </c>
      <c r="I145" s="151"/>
      <c r="K145" s="65" t="s">
        <v>211</v>
      </c>
      <c r="L145" s="149" t="str">
        <f>$L$6</f>
        <v>JunYTD 2023</v>
      </c>
      <c r="M145" s="133"/>
      <c r="N145" s="149" t="str">
        <f>$N$6</f>
        <v>Jun YTD 2022</v>
      </c>
      <c r="P145" s="170" t="s">
        <v>204</v>
      </c>
      <c r="Q145" s="149" t="s">
        <v>27</v>
      </c>
    </row>
    <row r="146" spans="2:17" x14ac:dyDescent="0.2">
      <c r="B146" s="20" t="s">
        <v>206</v>
      </c>
      <c r="C146" s="76">
        <v>276929</v>
      </c>
      <c r="D146" s="76"/>
      <c r="E146" s="76">
        <v>297425</v>
      </c>
      <c r="F146" s="83"/>
      <c r="G146" s="138">
        <f t="shared" ref="G146:G148" si="52">C146-E146</f>
        <v>-20496</v>
      </c>
      <c r="H146" s="137">
        <f t="shared" ref="H146:H148" si="53">(C146/E146)-1</f>
        <v>-6.8911490291670208E-2</v>
      </c>
      <c r="I146" s="152"/>
      <c r="K146" s="20" t="s">
        <v>206</v>
      </c>
      <c r="L146" s="76">
        <v>557953</v>
      </c>
      <c r="M146" s="76"/>
      <c r="N146" s="76">
        <v>642087</v>
      </c>
      <c r="O146" s="83"/>
      <c r="P146" s="138">
        <f t="shared" ref="P146:P148" si="54">L146-N146</f>
        <v>-84134</v>
      </c>
      <c r="Q146" s="137">
        <f t="shared" ref="Q146:Q148" si="55">(L146/N146)-1</f>
        <v>-0.13103208755199836</v>
      </c>
    </row>
    <row r="147" spans="2:17" x14ac:dyDescent="0.2">
      <c r="B147" s="65" t="s">
        <v>205</v>
      </c>
      <c r="C147" s="150">
        <v>790503</v>
      </c>
      <c r="D147" s="77"/>
      <c r="E147" s="150">
        <v>728313</v>
      </c>
      <c r="F147" s="142"/>
      <c r="G147" s="138">
        <f t="shared" si="52"/>
        <v>62190</v>
      </c>
      <c r="H147" s="137">
        <v>0.13060304479641593</v>
      </c>
      <c r="I147" s="151"/>
      <c r="K147" s="65" t="s">
        <v>205</v>
      </c>
      <c r="L147" s="150">
        <v>1507456</v>
      </c>
      <c r="M147" s="77"/>
      <c r="N147" s="150">
        <v>1435826</v>
      </c>
      <c r="O147" s="142"/>
      <c r="P147" s="138">
        <f t="shared" si="54"/>
        <v>71630</v>
      </c>
      <c r="Q147" s="137">
        <v>9.2529686198911776E-2</v>
      </c>
    </row>
    <row r="148" spans="2:17" x14ac:dyDescent="0.2">
      <c r="B148" s="144"/>
      <c r="C148" s="145">
        <f>C147+C146</f>
        <v>1067432</v>
      </c>
      <c r="D148" s="144"/>
      <c r="E148" s="145">
        <f>E147+E146</f>
        <v>1025738</v>
      </c>
      <c r="F148" s="144"/>
      <c r="G148" s="138">
        <f t="shared" si="52"/>
        <v>41694</v>
      </c>
      <c r="H148" s="137">
        <f t="shared" si="53"/>
        <v>4.0647806749871895E-2</v>
      </c>
      <c r="I148" s="153"/>
      <c r="K148" s="144"/>
      <c r="L148" s="145">
        <f>L147+L146</f>
        <v>2065409</v>
      </c>
      <c r="M148" s="144"/>
      <c r="N148" s="145">
        <f>N147+N146</f>
        <v>2077913</v>
      </c>
      <c r="O148" s="144"/>
      <c r="P148" s="138">
        <f t="shared" si="54"/>
        <v>-12504</v>
      </c>
      <c r="Q148" s="137">
        <f t="shared" si="55"/>
        <v>-6.0175762892864526E-3</v>
      </c>
    </row>
    <row r="149" spans="2:17" x14ac:dyDescent="0.2">
      <c r="I149" s="151"/>
    </row>
    <row r="150" spans="2:17" x14ac:dyDescent="0.2">
      <c r="B150" s="65" t="s">
        <v>195</v>
      </c>
      <c r="I150" s="151"/>
      <c r="K150" s="65" t="s">
        <v>195</v>
      </c>
    </row>
    <row r="151" spans="2:17" x14ac:dyDescent="0.2">
      <c r="B151" s="52" t="str">
        <f>$B$3</f>
        <v xml:space="preserve">Q2'23 vs Q2'22 </v>
      </c>
      <c r="I151" s="151"/>
      <c r="K151" s="52" t="str">
        <f>$B$3</f>
        <v xml:space="preserve">Q2'23 vs Q2'22 </v>
      </c>
    </row>
    <row r="152" spans="2:17" x14ac:dyDescent="0.2">
      <c r="B152" s="44" t="s">
        <v>295</v>
      </c>
      <c r="I152" s="151"/>
      <c r="K152" s="44" t="s">
        <v>202</v>
      </c>
    </row>
    <row r="153" spans="2:17" x14ac:dyDescent="0.2">
      <c r="C153" s="149" t="s">
        <v>203</v>
      </c>
      <c r="D153" s="133"/>
      <c r="E153" s="149" t="s">
        <v>203</v>
      </c>
      <c r="I153" s="151"/>
      <c r="L153" s="149" t="s">
        <v>203</v>
      </c>
      <c r="M153" s="133"/>
      <c r="N153" s="149" t="s">
        <v>203</v>
      </c>
    </row>
    <row r="154" spans="2:17" x14ac:dyDescent="0.2">
      <c r="B154" s="134"/>
      <c r="C154" s="149" t="str">
        <f>$C$6</f>
        <v>Q2'23</v>
      </c>
      <c r="D154" s="133"/>
      <c r="E154" s="149" t="str">
        <f>$E$6</f>
        <v>Q2'22</v>
      </c>
      <c r="G154" s="170" t="s">
        <v>204</v>
      </c>
      <c r="H154" s="149" t="s">
        <v>27</v>
      </c>
      <c r="I154" s="151"/>
      <c r="K154" s="134"/>
      <c r="L154" s="149" t="str">
        <f>$L$6</f>
        <v>JunYTD 2023</v>
      </c>
      <c r="M154" s="133"/>
      <c r="N154" s="149" t="str">
        <f>$N$6</f>
        <v>Jun YTD 2022</v>
      </c>
      <c r="P154" s="170" t="s">
        <v>204</v>
      </c>
      <c r="Q154" s="149" t="s">
        <v>27</v>
      </c>
    </row>
    <row r="155" spans="2:17" x14ac:dyDescent="0.2">
      <c r="H155" s="135"/>
      <c r="I155" s="151"/>
      <c r="Q155" s="135"/>
    </row>
    <row r="156" spans="2:17" x14ac:dyDescent="0.2">
      <c r="B156" s="20" t="s">
        <v>205</v>
      </c>
      <c r="C156" s="80">
        <f>1737.17633660955*(('2023 IR Data Book'!$A$5))</f>
        <v>473.00994843150625</v>
      </c>
      <c r="D156" s="136">
        <f>C156/$C$162</f>
        <v>1.4386613666061804E-2</v>
      </c>
      <c r="E156" s="80">
        <f>2466.38664265345*(('2023 IR Data Book'!$A$5))</f>
        <v>671.5641895805287</v>
      </c>
      <c r="F156" s="136">
        <f>E156/$E$162</f>
        <v>1.8909109686868812E-2</v>
      </c>
      <c r="G156" s="138">
        <f>C156-E156</f>
        <v>-198.55424114902246</v>
      </c>
      <c r="H156" s="137">
        <f>(C156/E156)-1</f>
        <v>-0.29565936395900305</v>
      </c>
      <c r="I156" s="151"/>
      <c r="K156" s="20" t="s">
        <v>205</v>
      </c>
      <c r="L156" s="80">
        <f>4080.34737671563*(('2023 IR Data Book'!$A$5))</f>
        <v>1111.0241727156865</v>
      </c>
      <c r="M156" s="136">
        <f>L156/$L$162</f>
        <v>1.659980552638543E-2</v>
      </c>
      <c r="N156" s="80">
        <f>4647.43393947111*(('2023 IR Data Book'!$A$5))</f>
        <v>1265.434280746912</v>
      </c>
      <c r="O156" s="136">
        <f>N156/$N$162</f>
        <v>1.7660347343898385E-2</v>
      </c>
      <c r="P156" s="138">
        <f>L156-N156</f>
        <v>-154.41010803122549</v>
      </c>
      <c r="Q156" s="137">
        <f>(L156/N156)-1</f>
        <v>-0.12202143594536274</v>
      </c>
    </row>
    <row r="157" spans="2:17" x14ac:dyDescent="0.2">
      <c r="B157" s="20" t="s">
        <v>206</v>
      </c>
      <c r="C157" s="80">
        <f>114591.773939567*(('2023 IR Data Book'!$A$5))</f>
        <v>31201.811779003157</v>
      </c>
      <c r="D157" s="136">
        <f t="shared" ref="D157:D160" si="56">C157/$C$162</f>
        <v>0.9490041662637374</v>
      </c>
      <c r="E157" s="80">
        <f>124127.093165848*(('2023 IR Data Book'!$A$5))</f>
        <v>33798.152035573708</v>
      </c>
      <c r="F157" s="136">
        <f t="shared" ref="F157:F164" si="57">E157/$E$162</f>
        <v>0.95164836655945106</v>
      </c>
      <c r="G157" s="138">
        <f t="shared" ref="G157:G160" si="58">C157-E157</f>
        <v>-2596.340256570551</v>
      </c>
      <c r="H157" s="137">
        <f>(C157/E157)-1</f>
        <v>-7.6819000454161346E-2</v>
      </c>
      <c r="I157" s="151"/>
      <c r="K157" s="20" t="s">
        <v>206</v>
      </c>
      <c r="L157" s="80">
        <f>233716.981086179*(('2023 IR Data Book'!$A$5))</f>
        <v>63638.016959695851</v>
      </c>
      <c r="M157" s="136">
        <f>L157/$L$162</f>
        <v>0.95081523116968081</v>
      </c>
      <c r="N157" s="80">
        <f>253236.357054681*(('2023 IR Data Book'!$A$5))</f>
        <v>68952.882713794315</v>
      </c>
      <c r="O157" s="136">
        <f>N157/$N$162</f>
        <v>0.96230351715297158</v>
      </c>
      <c r="P157" s="138">
        <f t="shared" ref="P157:P160" si="59">L157-N157</f>
        <v>-5314.8657540984641</v>
      </c>
      <c r="Q157" s="137">
        <f>(L157/N157)-1</f>
        <v>-7.7079674480893035E-2</v>
      </c>
    </row>
    <row r="158" spans="2:17" x14ac:dyDescent="0.2">
      <c r="B158" s="20" t="s">
        <v>207</v>
      </c>
      <c r="C158" s="80">
        <f>2649.1832944904*(('2023 IR Data Book'!$A$5))</f>
        <v>721.33727998976201</v>
      </c>
      <c r="D158" s="136">
        <f t="shared" si="56"/>
        <v>2.1939497899679541E-2</v>
      </c>
      <c r="E158" s="80">
        <f>2416.04666299935*(('2023 IR Data Book'!$A$5))</f>
        <v>657.85728448492887</v>
      </c>
      <c r="F158" s="136">
        <f t="shared" si="57"/>
        <v>1.8523166874638026E-2</v>
      </c>
      <c r="G158" s="74">
        <f t="shared" si="58"/>
        <v>63.479995504833141</v>
      </c>
      <c r="H158" s="75">
        <f>(C158/E158)-1</f>
        <v>9.649508639937765E-2</v>
      </c>
      <c r="I158" s="151"/>
      <c r="K158" s="20" t="s">
        <v>207</v>
      </c>
      <c r="L158" s="80">
        <f>4744.49958712061*(('2023 IR Data Book'!$A$5))</f>
        <v>1291.8639620760796</v>
      </c>
      <c r="M158" s="136">
        <f>L158/$L$162</f>
        <v>1.9301731738735468E-2</v>
      </c>
      <c r="N158" s="80">
        <f>2416.04666299935*(('2023 IR Data Book'!$A$5))</f>
        <v>657.85728448492887</v>
      </c>
      <c r="O158" s="136">
        <f>N158/$N$162</f>
        <v>9.1810284607274882E-3</v>
      </c>
      <c r="P158" s="74">
        <f t="shared" si="59"/>
        <v>634.00667759115072</v>
      </c>
      <c r="Q158" s="75">
        <f>(L158/N158)-1</f>
        <v>0.96374501361271392</v>
      </c>
    </row>
    <row r="159" spans="2:17" x14ac:dyDescent="0.2">
      <c r="B159" s="20" t="s">
        <v>208</v>
      </c>
      <c r="C159" s="80">
        <f>171.354066741657*(('2023 IR Data Book'!$A$5))</f>
        <v>46.657427092974181</v>
      </c>
      <c r="D159" s="136">
        <f t="shared" si="56"/>
        <v>1.4190872316002952E-3</v>
      </c>
      <c r="E159" s="80">
        <f>0*(('2023 IR Data Book'!$A$5))</f>
        <v>0</v>
      </c>
      <c r="F159" s="136">
        <f t="shared" si="57"/>
        <v>0</v>
      </c>
      <c r="G159" s="138">
        <f t="shared" si="58"/>
        <v>46.657427092974181</v>
      </c>
      <c r="H159" s="137" t="e">
        <f>(C159/E159)-1</f>
        <v>#DIV/0!</v>
      </c>
      <c r="I159" s="151"/>
      <c r="K159" s="20" t="s">
        <v>208</v>
      </c>
      <c r="L159" s="80">
        <f>299.799947116915*(('2023 IR Data Book'!$A$5))</f>
        <v>81.631527287729398</v>
      </c>
      <c r="M159" s="136">
        <f>L159/$L$162</f>
        <v>1.2196561614730033E-3</v>
      </c>
      <c r="N159" s="80">
        <f>0*(('2023 IR Data Book'!$A$5))</f>
        <v>0</v>
      </c>
      <c r="O159" s="136">
        <f>N159/$N$162</f>
        <v>0</v>
      </c>
      <c r="P159" s="138">
        <f t="shared" si="59"/>
        <v>81.631527287729398</v>
      </c>
      <c r="Q159" s="137" t="e">
        <f>(L159/N159)-1</f>
        <v>#DIV/0!</v>
      </c>
    </row>
    <row r="160" spans="2:17" x14ac:dyDescent="0.2">
      <c r="B160" s="20" t="s">
        <v>209</v>
      </c>
      <c r="C160" s="80">
        <f>1600.00747884449*(('2023 IR Data Book'!$A$5))</f>
        <v>435.66069782837496</v>
      </c>
      <c r="D160" s="136">
        <f t="shared" si="56"/>
        <v>1.3250634938920966E-2</v>
      </c>
      <c r="E160" s="80">
        <f>1424.25298698951*(('2023 IR Data Book'!$A$5))</f>
        <v>387.80509366375588</v>
      </c>
      <c r="F160" s="136">
        <f t="shared" si="57"/>
        <v>1.0919356879041973E-2</v>
      </c>
      <c r="G160" s="138">
        <f t="shared" si="58"/>
        <v>47.855604164619081</v>
      </c>
      <c r="H160" s="137">
        <f>(C160/E160)-1</f>
        <v>0.1234011748337478</v>
      </c>
      <c r="I160" s="151"/>
      <c r="K160" s="20" t="s">
        <v>209</v>
      </c>
      <c r="L160" s="80">
        <f>2965.31053777472*(('2023 IR Data Book'!$A$5))</f>
        <v>807.41451227324512</v>
      </c>
      <c r="M160" s="136">
        <f>L160/$L$162</f>
        <v>1.2063575403725305E-2</v>
      </c>
      <c r="N160" s="80">
        <f>2856.59120418624*(('2023 IR Data Book'!$A$5))</f>
        <v>777.81168768345037</v>
      </c>
      <c r="O160" s="136">
        <f>N160/$N$162</f>
        <v>1.0855107042402654E-2</v>
      </c>
      <c r="P160" s="138">
        <f t="shared" si="59"/>
        <v>29.60282458979475</v>
      </c>
      <c r="Q160" s="137">
        <f>(L160/N160)-1</f>
        <v>3.8059115154158496E-2</v>
      </c>
    </row>
    <row r="161" spans="2:17" x14ac:dyDescent="0.2">
      <c r="C161" s="80"/>
      <c r="D161" s="136"/>
      <c r="E161" s="80"/>
      <c r="F161" s="136"/>
      <c r="G161" s="138"/>
      <c r="H161" s="137"/>
      <c r="I161" s="151"/>
      <c r="L161" s="80"/>
      <c r="M161" s="136"/>
      <c r="N161" s="80"/>
      <c r="O161" s="136"/>
      <c r="P161" s="138"/>
      <c r="Q161" s="137"/>
    </row>
    <row r="162" spans="2:17" x14ac:dyDescent="0.2">
      <c r="B162" s="65" t="s">
        <v>210</v>
      </c>
      <c r="C162" s="81">
        <f>SUM(C156:C160)</f>
        <v>32878.477132345775</v>
      </c>
      <c r="D162" s="136">
        <f>C162/$C$162</f>
        <v>1</v>
      </c>
      <c r="E162" s="81">
        <f>SUM(E156:E160)</f>
        <v>35515.378603302925</v>
      </c>
      <c r="F162" s="136">
        <f t="shared" si="57"/>
        <v>1</v>
      </c>
      <c r="G162" s="139">
        <f>C162-E162</f>
        <v>-2636.9014709571493</v>
      </c>
      <c r="H162" s="140">
        <f>(C162/E162)-1</f>
        <v>-7.4246750975418774E-2</v>
      </c>
      <c r="I162" s="216">
        <f>C162/$C$201</f>
        <v>8.694274359501597E-2</v>
      </c>
      <c r="K162" s="65" t="s">
        <v>210</v>
      </c>
      <c r="L162" s="81">
        <f>SUM(L156:L160)</f>
        <v>66929.951134048591</v>
      </c>
      <c r="M162" s="136">
        <f>L162/$L$162</f>
        <v>1</v>
      </c>
      <c r="N162" s="81">
        <f>SUM(N156:N160)</f>
        <v>71653.985966709603</v>
      </c>
      <c r="O162" s="136">
        <f>N162/$N$162</f>
        <v>1</v>
      </c>
      <c r="P162" s="139">
        <f>L162-N162</f>
        <v>-4724.034832661011</v>
      </c>
      <c r="Q162" s="140">
        <f>(L162/N162)-1</f>
        <v>-6.5928430483348066E-2</v>
      </c>
    </row>
    <row r="163" spans="2:17" x14ac:dyDescent="0.2">
      <c r="C163" s="80"/>
      <c r="D163" s="141"/>
      <c r="E163" s="80"/>
      <c r="F163" s="141"/>
      <c r="G163" s="171"/>
      <c r="H163" s="137"/>
      <c r="I163" s="216">
        <f>E162/$E$201</f>
        <v>8.6004712461586141E-2</v>
      </c>
      <c r="L163" s="80"/>
      <c r="M163" s="141"/>
      <c r="N163" s="80"/>
      <c r="O163" s="141"/>
      <c r="P163" s="171"/>
      <c r="Q163" s="137"/>
    </row>
    <row r="164" spans="2:17" x14ac:dyDescent="0.2">
      <c r="B164" s="65" t="s">
        <v>31</v>
      </c>
      <c r="C164" s="81">
        <f>18870.9611214757*(('2023 IR Data Book'!$A$5))</f>
        <v>5138.3110389031472</v>
      </c>
      <c r="D164" s="136">
        <f>C164/$C$162</f>
        <v>0.15628190497448824</v>
      </c>
      <c r="E164" s="81">
        <f>31871.1369574258*(('2023 IR Data Book'!$A$5))</f>
        <v>8678.0855408772532</v>
      </c>
      <c r="F164" s="136">
        <f t="shared" si="57"/>
        <v>0.24434726257064857</v>
      </c>
      <c r="G164" s="139">
        <f>C164-E164</f>
        <v>-3539.774501974106</v>
      </c>
      <c r="H164" s="140">
        <f>(C164/E164)-1</f>
        <v>-0.40789808827077734</v>
      </c>
      <c r="I164" s="151"/>
      <c r="K164" s="65" t="s">
        <v>31</v>
      </c>
      <c r="L164" s="81">
        <f>44252.9842262709*(('2023 IR Data Book'!$A$5))</f>
        <v>12049.497420429912</v>
      </c>
      <c r="M164" s="136">
        <f>L164/$L$162</f>
        <v>0.18003146896517147</v>
      </c>
      <c r="N164" s="81">
        <f>62437.1793126552*(('2023 IR Data Book'!$A$5))</f>
        <v>17000.811227102105</v>
      </c>
      <c r="O164" s="136">
        <f>N164/$N$162</f>
        <v>0.23726260301835367</v>
      </c>
      <c r="P164" s="139">
        <f>L164-N164</f>
        <v>-4951.3138066721931</v>
      </c>
      <c r="Q164" s="140">
        <f>(L164/N164)-1</f>
        <v>-0.29123985558871335</v>
      </c>
    </row>
    <row r="165" spans="2:17" x14ac:dyDescent="0.2">
      <c r="I165" s="151"/>
    </row>
    <row r="166" spans="2:17" x14ac:dyDescent="0.2">
      <c r="B166" s="65" t="s">
        <v>211</v>
      </c>
      <c r="C166" s="149" t="str">
        <f>$C$6</f>
        <v>Q2'23</v>
      </c>
      <c r="D166" s="133"/>
      <c r="E166" s="149" t="str">
        <f>$E$6</f>
        <v>Q2'22</v>
      </c>
      <c r="G166" s="170" t="s">
        <v>204</v>
      </c>
      <c r="H166" s="149" t="s">
        <v>27</v>
      </c>
      <c r="I166" s="151"/>
      <c r="K166" s="65" t="s">
        <v>211</v>
      </c>
      <c r="L166" s="149" t="str">
        <f>$L$6</f>
        <v>JunYTD 2023</v>
      </c>
      <c r="M166" s="133"/>
      <c r="N166" s="149" t="str">
        <f>$N$6</f>
        <v>Jun YTD 2022</v>
      </c>
      <c r="P166" s="170" t="s">
        <v>204</v>
      </c>
      <c r="Q166" s="149" t="s">
        <v>27</v>
      </c>
    </row>
    <row r="167" spans="2:17" x14ac:dyDescent="0.2">
      <c r="B167" s="20" t="s">
        <v>206</v>
      </c>
      <c r="C167" s="76">
        <v>9873427</v>
      </c>
      <c r="D167" s="76"/>
      <c r="E167" s="76">
        <v>9975927</v>
      </c>
      <c r="F167" s="83"/>
      <c r="G167" s="138">
        <f t="shared" ref="G167:G169" si="60">C167-E167</f>
        <v>-102500</v>
      </c>
      <c r="H167" s="137">
        <f t="shared" ref="H167:H169" si="61">(C167/E167)-1</f>
        <v>-1.0274734368044158E-2</v>
      </c>
      <c r="I167" s="152"/>
      <c r="K167" s="20" t="s">
        <v>206</v>
      </c>
      <c r="L167" s="76">
        <v>19936221</v>
      </c>
      <c r="M167" s="76"/>
      <c r="N167" s="76">
        <v>20571797</v>
      </c>
      <c r="O167" s="83"/>
      <c r="P167" s="138">
        <f t="shared" ref="P167:P169" si="62">L167-N167</f>
        <v>-635576</v>
      </c>
      <c r="Q167" s="137">
        <f t="shared" ref="Q167:Q169" si="63">(L167/N167)-1</f>
        <v>-3.0895502225692817E-2</v>
      </c>
    </row>
    <row r="168" spans="2:17" x14ac:dyDescent="0.2">
      <c r="B168" s="65" t="s">
        <v>205</v>
      </c>
      <c r="C168" s="150">
        <v>6071</v>
      </c>
      <c r="D168" s="77"/>
      <c r="E168" s="150">
        <v>5401</v>
      </c>
      <c r="F168" s="142"/>
      <c r="G168" s="138">
        <f t="shared" si="60"/>
        <v>670</v>
      </c>
      <c r="H168" s="137">
        <v>8.8418932527693839E-2</v>
      </c>
      <c r="I168" s="151"/>
      <c r="K168" s="65" t="s">
        <v>205</v>
      </c>
      <c r="L168" s="150">
        <v>13111</v>
      </c>
      <c r="M168" s="77"/>
      <c r="N168" s="150">
        <v>10025</v>
      </c>
      <c r="O168" s="142"/>
      <c r="P168" s="138">
        <f t="shared" si="62"/>
        <v>3086</v>
      </c>
      <c r="Q168" s="137">
        <v>5.972515856236793E-2</v>
      </c>
    </row>
    <row r="169" spans="2:17" x14ac:dyDescent="0.2">
      <c r="B169" s="144"/>
      <c r="C169" s="145">
        <f>C168+C167</f>
        <v>9879498</v>
      </c>
      <c r="D169" s="144"/>
      <c r="E169" s="145">
        <f>E168+E167</f>
        <v>9981328</v>
      </c>
      <c r="F169" s="144"/>
      <c r="G169" s="138">
        <f t="shared" si="60"/>
        <v>-101830</v>
      </c>
      <c r="H169" s="137">
        <f t="shared" si="61"/>
        <v>-1.0202049266390234E-2</v>
      </c>
      <c r="I169" s="153"/>
      <c r="K169" s="144"/>
      <c r="L169" s="145">
        <f>L168+L167</f>
        <v>19949332</v>
      </c>
      <c r="M169" s="144"/>
      <c r="N169" s="145">
        <f>N168+N167</f>
        <v>20581822</v>
      </c>
      <c r="O169" s="144"/>
      <c r="P169" s="138">
        <f t="shared" si="62"/>
        <v>-632490</v>
      </c>
      <c r="Q169" s="137">
        <f t="shared" si="63"/>
        <v>-3.0730515500522748E-2</v>
      </c>
    </row>
    <row r="170" spans="2:17" x14ac:dyDescent="0.2">
      <c r="I170" s="151"/>
    </row>
    <row r="171" spans="2:17" x14ac:dyDescent="0.2">
      <c r="B171" s="65" t="s">
        <v>196</v>
      </c>
      <c r="I171" s="151"/>
      <c r="K171" s="65" t="s">
        <v>196</v>
      </c>
      <c r="L171" s="86"/>
      <c r="M171" s="86"/>
      <c r="N171" s="86"/>
      <c r="O171" s="131"/>
    </row>
    <row r="172" spans="2:17" x14ac:dyDescent="0.2">
      <c r="B172" s="52" t="str">
        <f>$B$3</f>
        <v xml:space="preserve">Q2'23 vs Q2'22 </v>
      </c>
      <c r="I172" s="151"/>
      <c r="K172" s="52" t="str">
        <f>$B$3</f>
        <v xml:space="preserve">Q2'23 vs Q2'22 </v>
      </c>
    </row>
    <row r="173" spans="2:17" x14ac:dyDescent="0.2">
      <c r="B173" s="44" t="s">
        <v>295</v>
      </c>
      <c r="I173" s="151"/>
      <c r="K173" s="44" t="s">
        <v>202</v>
      </c>
    </row>
    <row r="174" spans="2:17" x14ac:dyDescent="0.2">
      <c r="C174" s="149" t="s">
        <v>203</v>
      </c>
      <c r="D174" s="133"/>
      <c r="E174" s="149" t="s">
        <v>203</v>
      </c>
      <c r="I174" s="151"/>
      <c r="L174" s="149" t="s">
        <v>203</v>
      </c>
      <c r="M174" s="133"/>
      <c r="N174" s="149" t="s">
        <v>203</v>
      </c>
    </row>
    <row r="175" spans="2:17" x14ac:dyDescent="0.2">
      <c r="B175" s="134"/>
      <c r="C175" s="149" t="str">
        <f>$C$6</f>
        <v>Q2'23</v>
      </c>
      <c r="D175" s="133"/>
      <c r="E175" s="149" t="str">
        <f>$E$6</f>
        <v>Q2'22</v>
      </c>
      <c r="G175" s="170" t="s">
        <v>204</v>
      </c>
      <c r="H175" s="149" t="s">
        <v>27</v>
      </c>
      <c r="I175" s="151"/>
      <c r="K175" s="134"/>
      <c r="L175" s="149" t="str">
        <f>$L$6</f>
        <v>JunYTD 2023</v>
      </c>
      <c r="M175" s="133"/>
      <c r="N175" s="149" t="str">
        <f>$N$6</f>
        <v>Jun YTD 2022</v>
      </c>
      <c r="P175" s="170" t="s">
        <v>204</v>
      </c>
      <c r="Q175" s="149" t="s">
        <v>27</v>
      </c>
    </row>
    <row r="176" spans="2:17" x14ac:dyDescent="0.2">
      <c r="H176" s="135"/>
      <c r="I176" s="151"/>
      <c r="Q176" s="135"/>
    </row>
    <row r="177" spans="2:17" x14ac:dyDescent="0.2">
      <c r="B177" s="20" t="s">
        <v>205</v>
      </c>
      <c r="C177" s="80">
        <f>5861.53295689165*(('2023 IR Data Book'!$A$5))</f>
        <v>1596.0172512366307</v>
      </c>
      <c r="D177" s="136">
        <f>C177/$C$183</f>
        <v>0.59480391863508819</v>
      </c>
      <c r="E177" s="80">
        <f>7050.31504177758*(('2023 IR Data Book'!$A$5))</f>
        <v>1919.7067586389967</v>
      </c>
      <c r="F177" s="136">
        <f>E177/$E$183</f>
        <v>0.95926673560378883</v>
      </c>
      <c r="G177" s="138">
        <f>C177-E177</f>
        <v>-323.68950740236596</v>
      </c>
      <c r="H177" s="137">
        <f>(C177/E177)-1</f>
        <v>-0.16861403750635862</v>
      </c>
      <c r="I177" s="151"/>
      <c r="K177" s="20" t="s">
        <v>205</v>
      </c>
      <c r="L177" s="80">
        <f>11756.0954204543*(('2023 IR Data Book'!$A$5))</f>
        <v>3201.0279966384301</v>
      </c>
      <c r="M177" s="136">
        <f>L177/$L$183</f>
        <v>0.72704254993783624</v>
      </c>
      <c r="N177" s="80">
        <f>14005.2971048524*(('2023 IR Data Book'!$A$5))</f>
        <v>3813.4556185951096</v>
      </c>
      <c r="O177" s="136">
        <f>N177/$N$183</f>
        <v>0.95084790674772723</v>
      </c>
      <c r="P177" s="138">
        <f>L177-N177</f>
        <v>-612.42762195667956</v>
      </c>
      <c r="Q177" s="137">
        <f>(L177/N177)-1</f>
        <v>-0.16059649913594642</v>
      </c>
    </row>
    <row r="178" spans="2:17" x14ac:dyDescent="0.2">
      <c r="B178" s="20" t="s">
        <v>206</v>
      </c>
      <c r="C178" s="80">
        <f>0*(('2023 IR Data Book'!$A$5))</f>
        <v>0</v>
      </c>
      <c r="D178" s="136">
        <f t="shared" ref="D178:D181" si="64">C178/$C$183</f>
        <v>0</v>
      </c>
      <c r="E178" s="80">
        <f>0*(('2023 IR Data Book'!$A$5))</f>
        <v>0</v>
      </c>
      <c r="F178" s="136">
        <f t="shared" ref="F178:F181" si="65">E178/$E$183</f>
        <v>0</v>
      </c>
      <c r="G178" s="138">
        <f t="shared" ref="G178:G181" si="66">C178-E178</f>
        <v>0</v>
      </c>
      <c r="H178" s="137" t="e">
        <f>(C178/E178)-1</f>
        <v>#DIV/0!</v>
      </c>
      <c r="I178" s="151"/>
      <c r="K178" s="20" t="s">
        <v>206</v>
      </c>
      <c r="L178" s="80">
        <f>0*(('2023 IR Data Book'!$A$5))</f>
        <v>0</v>
      </c>
      <c r="M178" s="136">
        <f>L178/$L$183</f>
        <v>0</v>
      </c>
      <c r="N178" s="80">
        <f>0*(('2023 IR Data Book'!$A$5))</f>
        <v>0</v>
      </c>
      <c r="O178" s="136">
        <f>N178/$N$183</f>
        <v>0</v>
      </c>
      <c r="P178" s="138">
        <f t="shared" ref="P178:P181" si="67">L178-N178</f>
        <v>0</v>
      </c>
      <c r="Q178" s="137" t="e">
        <f>(L178/N178)-1</f>
        <v>#DIV/0!</v>
      </c>
    </row>
    <row r="179" spans="2:17" x14ac:dyDescent="0.2">
      <c r="B179" s="20" t="s">
        <v>207</v>
      </c>
      <c r="C179" s="80">
        <f>3642.6022032*(('2023 IR Data Book'!$A$5))</f>
        <v>991.83199999999999</v>
      </c>
      <c r="D179" s="136">
        <f t="shared" si="64"/>
        <v>0.36963607991741532</v>
      </c>
      <c r="E179" s="80">
        <f>0*(('2023 IR Data Book'!$A$5))</f>
        <v>0</v>
      </c>
      <c r="F179" s="136">
        <f t="shared" si="65"/>
        <v>0</v>
      </c>
      <c r="G179" s="74">
        <f t="shared" si="66"/>
        <v>991.83199999999999</v>
      </c>
      <c r="H179" s="75" t="e">
        <f>(C179/E179)-1</f>
        <v>#DIV/0!</v>
      </c>
      <c r="I179" s="151"/>
      <c r="K179" s="20" t="s">
        <v>207</v>
      </c>
      <c r="L179" s="80">
        <f>3642.60220319991*(('2023 IR Data Book'!$A$5))</f>
        <v>991.83199999997544</v>
      </c>
      <c r="M179" s="136">
        <f>L179/$L$183</f>
        <v>0.22527265214399747</v>
      </c>
      <c r="N179" s="80">
        <f>0*(('2023 IR Data Book'!$A$5))</f>
        <v>0</v>
      </c>
      <c r="O179" s="136">
        <f>N179/$N$183</f>
        <v>0</v>
      </c>
      <c r="P179" s="74">
        <f t="shared" si="67"/>
        <v>991.83199999997544</v>
      </c>
      <c r="Q179" s="75" t="e">
        <f>(L179/N179)-1</f>
        <v>#DIV/0!</v>
      </c>
    </row>
    <row r="180" spans="2:17" x14ac:dyDescent="0.2">
      <c r="B180" s="20" t="s">
        <v>208</v>
      </c>
      <c r="C180" s="80">
        <f>-2.58866293734172E-11*(('2023 IR Data Book'!$A$5))</f>
        <v>-7.0485839387401842E-12</v>
      </c>
      <c r="D180" s="136">
        <f t="shared" si="64"/>
        <v>-2.6268671872704014E-15</v>
      </c>
      <c r="E180" s="80">
        <f>0*(('2023 IR Data Book'!$A$5))</f>
        <v>0</v>
      </c>
      <c r="F180" s="136">
        <f t="shared" si="65"/>
        <v>0</v>
      </c>
      <c r="G180" s="138">
        <f t="shared" si="66"/>
        <v>-7.0485839387401842E-12</v>
      </c>
      <c r="H180" s="137" t="e">
        <f>(C180/E180)-1</f>
        <v>#DIV/0!</v>
      </c>
      <c r="I180" s="151"/>
      <c r="K180" s="20" t="s">
        <v>208</v>
      </c>
      <c r="L180" s="80">
        <f>0*(('2023 IR Data Book'!$A$5))</f>
        <v>0</v>
      </c>
      <c r="M180" s="136">
        <f>L180/$L$183</f>
        <v>0</v>
      </c>
      <c r="N180" s="80">
        <f>0*(('2023 IR Data Book'!$A$5))</f>
        <v>0</v>
      </c>
      <c r="O180" s="136">
        <f>N180/$N$183</f>
        <v>0</v>
      </c>
      <c r="P180" s="138">
        <f t="shared" si="67"/>
        <v>0</v>
      </c>
      <c r="Q180" s="137" t="e">
        <f>(L180/N180)-1</f>
        <v>#DIV/0!</v>
      </c>
    </row>
    <row r="181" spans="2:17" x14ac:dyDescent="0.2">
      <c r="B181" s="20" t="s">
        <v>209</v>
      </c>
      <c r="C181" s="80">
        <f>350.428290569999*(('2023 IR Data Book'!$A$5))</f>
        <v>95.416949999999716</v>
      </c>
      <c r="D181" s="136">
        <f t="shared" si="64"/>
        <v>3.5560001447499087E-2</v>
      </c>
      <c r="E181" s="80">
        <f>299.37694701*(('2023 IR Data Book'!$A$5))</f>
        <v>81.516349999999989</v>
      </c>
      <c r="F181" s="136">
        <f t="shared" si="65"/>
        <v>4.0733264396211229E-2</v>
      </c>
      <c r="G181" s="138">
        <f t="shared" si="66"/>
        <v>13.900599999999727</v>
      </c>
      <c r="H181" s="137">
        <f>(C181/E181)-1</f>
        <v>0.17052529952579731</v>
      </c>
      <c r="I181" s="151"/>
      <c r="K181" s="20" t="s">
        <v>209</v>
      </c>
      <c r="L181" s="80">
        <f>771.051205295996*(('2023 IR Data Book'!$A$5))</f>
        <v>209.94695999999891</v>
      </c>
      <c r="M181" s="136">
        <f>L181/$L$183</f>
        <v>4.7684797918166259E-2</v>
      </c>
      <c r="N181" s="80">
        <f>723.974533086004*(('2023 IR Data Book'!$A$5))</f>
        <v>197.12861000000109</v>
      </c>
      <c r="O181" s="136">
        <f>N181/$N$183</f>
        <v>4.9152093252272711E-2</v>
      </c>
      <c r="P181" s="138">
        <f t="shared" si="67"/>
        <v>12.818349999997821</v>
      </c>
      <c r="Q181" s="137">
        <f>(L181/N181)-1</f>
        <v>6.5025315199035649E-2</v>
      </c>
    </row>
    <row r="182" spans="2:17" x14ac:dyDescent="0.2">
      <c r="C182" s="80"/>
      <c r="D182" s="136"/>
      <c r="E182" s="80"/>
      <c r="F182" s="136"/>
      <c r="G182" s="138"/>
      <c r="H182" s="137"/>
      <c r="I182" s="151"/>
      <c r="L182" s="80"/>
      <c r="M182" s="136"/>
      <c r="N182" s="80"/>
      <c r="O182" s="136"/>
      <c r="P182" s="138"/>
      <c r="Q182" s="137"/>
    </row>
    <row r="183" spans="2:17" x14ac:dyDescent="0.2">
      <c r="B183" s="65" t="s">
        <v>210</v>
      </c>
      <c r="C183" s="81">
        <f>SUM(C177:C181)</f>
        <v>2683.2662012366236</v>
      </c>
      <c r="D183" s="136">
        <f>C183/$C$183</f>
        <v>1</v>
      </c>
      <c r="E183" s="81">
        <f>SUM(E177:E181)</f>
        <v>2001.2231086389966</v>
      </c>
      <c r="F183" s="136">
        <f>E183/$E$183</f>
        <v>1</v>
      </c>
      <c r="G183" s="139">
        <f>C183-E183</f>
        <v>682.04309259762704</v>
      </c>
      <c r="H183" s="140">
        <f>(C183/E183)-1</f>
        <v>0.34081312056279156</v>
      </c>
      <c r="I183" s="151"/>
      <c r="K183" s="65" t="s">
        <v>210</v>
      </c>
      <c r="L183" s="81">
        <f>SUM(L177:L181)</f>
        <v>4402.8069566384047</v>
      </c>
      <c r="M183" s="136">
        <f>L183/$L$183</f>
        <v>1</v>
      </c>
      <c r="N183" s="81">
        <f>SUM(N177:N181)</f>
        <v>4010.5842285951107</v>
      </c>
      <c r="O183" s="136">
        <f>N183/$N$183</f>
        <v>1</v>
      </c>
      <c r="P183" s="139">
        <f>L183-N183</f>
        <v>392.22272804329396</v>
      </c>
      <c r="Q183" s="140">
        <f>(L183/N183)-1</f>
        <v>9.7796905809079071E-2</v>
      </c>
    </row>
    <row r="184" spans="2:17" x14ac:dyDescent="0.2">
      <c r="C184" s="80"/>
      <c r="D184" s="141"/>
      <c r="E184" s="80"/>
      <c r="F184" s="141"/>
      <c r="G184" s="171"/>
      <c r="H184" s="137"/>
      <c r="I184" s="151"/>
      <c r="L184" s="80"/>
      <c r="M184" s="141"/>
      <c r="N184" s="80"/>
      <c r="O184" s="141"/>
      <c r="P184" s="171"/>
      <c r="Q184" s="137"/>
    </row>
    <row r="185" spans="2:17" x14ac:dyDescent="0.2">
      <c r="B185" s="65" t="s">
        <v>31</v>
      </c>
      <c r="C185" s="81">
        <f>21336.4451505246*(('2023 IR Data Book'!$A$5))</f>
        <v>5809.6294588369547</v>
      </c>
      <c r="D185" s="136"/>
      <c r="E185" s="81">
        <f>38349.0736152437*(('2023 IR Data Book'!$A$5))</f>
        <v>10441.941299146027</v>
      </c>
      <c r="F185" s="142"/>
      <c r="G185" s="139">
        <f>C185-E185</f>
        <v>-4632.3118403090721</v>
      </c>
      <c r="H185" s="140">
        <f>(C185/E185)-1</f>
        <v>-0.44362553931306969</v>
      </c>
      <c r="I185" s="151"/>
      <c r="K185" s="65" t="s">
        <v>31</v>
      </c>
      <c r="L185" s="81">
        <f>36768.1656085197*(('2023 IR Data Book'!$A$5))</f>
        <v>10011.481132854027</v>
      </c>
      <c r="M185" s="136"/>
      <c r="N185" s="81">
        <f>76144.1763558052*(('2023 IR Data Book'!$A$5))</f>
        <v>20733.043717204488</v>
      </c>
      <c r="O185" s="142"/>
      <c r="P185" s="139">
        <f>L185-N185</f>
        <v>-10721.56258435046</v>
      </c>
      <c r="Q185" s="140">
        <f>(L185/N185)-1</f>
        <v>-0.51712438996371768</v>
      </c>
    </row>
    <row r="186" spans="2:17" x14ac:dyDescent="0.2">
      <c r="C186" s="2">
        <f>C185/C183</f>
        <v>2.1651334691129414</v>
      </c>
      <c r="E186" s="2">
        <f>E185/E183</f>
        <v>5.217779693863041</v>
      </c>
      <c r="I186" s="151"/>
      <c r="L186" s="2">
        <f>L185/L183</f>
        <v>2.2738860075977332</v>
      </c>
      <c r="N186" s="2">
        <f>N185/N183</f>
        <v>5.1695819201052355</v>
      </c>
    </row>
    <row r="187" spans="2:17" x14ac:dyDescent="0.2">
      <c r="B187" s="144"/>
      <c r="C187" s="144"/>
      <c r="D187" s="144"/>
      <c r="E187" s="144"/>
      <c r="F187" s="144"/>
      <c r="G187" s="34"/>
      <c r="H187" s="144"/>
      <c r="I187" s="153"/>
      <c r="K187" s="144"/>
      <c r="L187" s="144"/>
      <c r="M187" s="144"/>
      <c r="N187" s="144"/>
      <c r="O187" s="144"/>
      <c r="P187" s="34"/>
      <c r="Q187" s="144"/>
    </row>
    <row r="188" spans="2:17" x14ac:dyDescent="0.2">
      <c r="I188" s="151"/>
    </row>
    <row r="189" spans="2:17" x14ac:dyDescent="0.2">
      <c r="B189" s="65" t="s">
        <v>215</v>
      </c>
      <c r="I189" s="151"/>
      <c r="K189" s="65" t="s">
        <v>215</v>
      </c>
    </row>
    <row r="190" spans="2:17" x14ac:dyDescent="0.2">
      <c r="B190" s="52" t="str">
        <f>$B$3</f>
        <v xml:space="preserve">Q2'23 vs Q2'22 </v>
      </c>
      <c r="I190" s="151"/>
      <c r="K190" s="52" t="str">
        <f>$B$3</f>
        <v xml:space="preserve">Q2'23 vs Q2'22 </v>
      </c>
    </row>
    <row r="191" spans="2:17" x14ac:dyDescent="0.2">
      <c r="B191" s="44" t="s">
        <v>295</v>
      </c>
      <c r="I191" s="151"/>
      <c r="K191" s="44" t="s">
        <v>202</v>
      </c>
    </row>
    <row r="192" spans="2:17" x14ac:dyDescent="0.2">
      <c r="C192" s="149" t="s">
        <v>203</v>
      </c>
      <c r="D192" s="133"/>
      <c r="E192" s="149" t="s">
        <v>203</v>
      </c>
      <c r="I192" s="151"/>
      <c r="L192" s="149" t="s">
        <v>203</v>
      </c>
      <c r="M192" s="133"/>
      <c r="N192" s="149" t="s">
        <v>203</v>
      </c>
    </row>
    <row r="193" spans="2:17" x14ac:dyDescent="0.2">
      <c r="B193" s="134"/>
      <c r="C193" s="149" t="str">
        <f>$C$6</f>
        <v>Q2'23</v>
      </c>
      <c r="D193" s="133"/>
      <c r="E193" s="149" t="str">
        <f>$E$6</f>
        <v>Q2'22</v>
      </c>
      <c r="G193" s="170" t="s">
        <v>204</v>
      </c>
      <c r="H193" s="149" t="s">
        <v>27</v>
      </c>
      <c r="I193" s="151"/>
      <c r="K193" s="134"/>
      <c r="L193" s="149" t="str">
        <f>$L$6</f>
        <v>JunYTD 2023</v>
      </c>
      <c r="M193" s="133"/>
      <c r="N193" s="149" t="str">
        <f>$N$6</f>
        <v>Jun YTD 2022</v>
      </c>
      <c r="P193" s="170" t="s">
        <v>204</v>
      </c>
      <c r="Q193" s="149" t="s">
        <v>27</v>
      </c>
    </row>
    <row r="194" spans="2:17" x14ac:dyDescent="0.2">
      <c r="H194" s="135"/>
      <c r="I194" s="151"/>
      <c r="Q194" s="135"/>
    </row>
    <row r="195" spans="2:17" x14ac:dyDescent="0.2">
      <c r="B195" s="20" t="s">
        <v>205</v>
      </c>
      <c r="C195" s="80">
        <f>C8+C30+C51+C72+C93+C114+C135+C156+C177</f>
        <v>152764.03199925195</v>
      </c>
      <c r="D195" s="136">
        <f>C195/$C$201</f>
        <v>0.4039640890661948</v>
      </c>
      <c r="E195" s="80">
        <f>E8+E30+E51+E72+E93+E114+E135+E156+E177</f>
        <v>160222.2554691048</v>
      </c>
      <c r="F195" s="136">
        <f>E195/$E$201</f>
        <v>0.387997243827372</v>
      </c>
      <c r="G195" s="138">
        <f>C195-E195</f>
        <v>-7458.2234698528482</v>
      </c>
      <c r="H195" s="137">
        <f>(C195/E195)-1</f>
        <v>-4.6549235298282254E-2</v>
      </c>
      <c r="I195" s="151"/>
      <c r="K195" s="20" t="s">
        <v>205</v>
      </c>
      <c r="L195" s="80">
        <f>L8+L30+L51+L72+L93+L114+L135+L156+L177</f>
        <v>307036.46030389139</v>
      </c>
      <c r="M195" s="136">
        <f>L195/$L$201</f>
        <v>0.39981841820942765</v>
      </c>
      <c r="N195" s="80">
        <f>N8+N30+N51+N72+N93+N114+N135+N156+N177</f>
        <v>312424.08686075005</v>
      </c>
      <c r="O195" s="136">
        <f>N195/$N$201</f>
        <v>0.38691645210328424</v>
      </c>
      <c r="P195" s="138">
        <f>L195-N195</f>
        <v>-5387.6265568586532</v>
      </c>
      <c r="Q195" s="137">
        <f>(L195/N195)-1</f>
        <v>-1.7244594074015684E-2</v>
      </c>
    </row>
    <row r="196" spans="2:17" x14ac:dyDescent="0.2">
      <c r="B196" s="20" t="s">
        <v>206</v>
      </c>
      <c r="C196" s="80">
        <f>C9+C31+C52+C73+C94+C115+C136+C157+C178</f>
        <v>95677.469821785009</v>
      </c>
      <c r="D196" s="136">
        <f t="shared" ref="D196:D199" si="68">C196/$C$201</f>
        <v>0.25300629627859639</v>
      </c>
      <c r="E196" s="80">
        <f>E9+E31+E52+E73+E94+E115+E136+E157+E178</f>
        <v>101425.15477963234</v>
      </c>
      <c r="F196" s="136">
        <f t="shared" ref="F196:F199" si="69">E196/$E$201</f>
        <v>0.24561307287831946</v>
      </c>
      <c r="G196" s="138">
        <f t="shared" ref="G196:G199" si="70">C196-E196</f>
        <v>-5747.6849578473339</v>
      </c>
      <c r="H196" s="137">
        <f>(C196/E196)-1</f>
        <v>-5.6669225404046952E-2</v>
      </c>
      <c r="I196" s="151"/>
      <c r="K196" s="20" t="s">
        <v>206</v>
      </c>
      <c r="L196" s="80">
        <f>L9+L31+L52+L73+L94+L115+L136+L157+L178</f>
        <v>194150.54078961423</v>
      </c>
      <c r="M196" s="136">
        <f>L196/$L$201</f>
        <v>0.25282001374096968</v>
      </c>
      <c r="N196" s="80">
        <f>N9+N31+N52+N73+N94+N115+N136+N157+N178</f>
        <v>203979.36231130431</v>
      </c>
      <c r="O196" s="136">
        <f>N196/$N$201</f>
        <v>0.25261487345870631</v>
      </c>
      <c r="P196" s="138">
        <f t="shared" ref="P196:P199" si="71">L196-N196</f>
        <v>-9828.8215216900862</v>
      </c>
      <c r="Q196" s="137">
        <f>(L196/N196)-1</f>
        <v>-4.8185372335313836E-2</v>
      </c>
    </row>
    <row r="197" spans="2:17" x14ac:dyDescent="0.2">
      <c r="B197" s="20" t="s">
        <v>207</v>
      </c>
      <c r="C197" s="80">
        <f>C10+C32+C53+C74+C95+C116+C137+C158+C179</f>
        <v>97644.565082055415</v>
      </c>
      <c r="D197" s="136">
        <f t="shared" si="68"/>
        <v>0.25820801709286145</v>
      </c>
      <c r="E197" s="80">
        <f>E10+E32+E53+E74+E95+E116+E137+E158+E179</f>
        <v>117739.49234830338</v>
      </c>
      <c r="F197" s="136">
        <f t="shared" si="69"/>
        <v>0.28512018125711952</v>
      </c>
      <c r="G197" s="74">
        <f t="shared" si="70"/>
        <v>-20094.927266247963</v>
      </c>
      <c r="H197" s="75">
        <f>(C197/E197)-1</f>
        <v>-0.17067278672140063</v>
      </c>
      <c r="I197" s="151"/>
      <c r="K197" s="20" t="s">
        <v>207</v>
      </c>
      <c r="L197" s="80">
        <f>L10+L32+L53+L74+L95+L116+L137+L158+L179</f>
        <v>202592.6670543231</v>
      </c>
      <c r="M197" s="136">
        <f>L197/$L$201</f>
        <v>0.26381322792191558</v>
      </c>
      <c r="N197" s="80">
        <f>N10+N32+N53+N74+N95+N116+N137+N158+N179</f>
        <v>224239.70119528595</v>
      </c>
      <c r="O197" s="136">
        <f>N197/$N$201</f>
        <v>0.27770595564179779</v>
      </c>
      <c r="P197" s="74">
        <f t="shared" si="71"/>
        <v>-21647.034140962845</v>
      </c>
      <c r="Q197" s="75">
        <f>(L197/N197)-1</f>
        <v>-9.6535243427348649E-2</v>
      </c>
    </row>
    <row r="198" spans="2:17" x14ac:dyDescent="0.2">
      <c r="B198" s="20" t="s">
        <v>208</v>
      </c>
      <c r="C198" s="80">
        <f>C11+C33+C54+C75+C96+C117+C138+C159+C180</f>
        <v>28921.344221213614</v>
      </c>
      <c r="D198" s="136">
        <f t="shared" si="68"/>
        <v>7.6478633877309701E-2</v>
      </c>
      <c r="E198" s="80">
        <f>E11+E33+E54+E75+E96+E117+E138+E159+E180</f>
        <v>30429.710339732424</v>
      </c>
      <c r="F198" s="136">
        <f t="shared" si="69"/>
        <v>7.3689162018806473E-2</v>
      </c>
      <c r="G198" s="138">
        <f t="shared" si="70"/>
        <v>-1508.3661185188103</v>
      </c>
      <c r="H198" s="137">
        <f>(C198/E198)-1</f>
        <v>-4.9568862196802455E-2</v>
      </c>
      <c r="I198" s="151"/>
      <c r="K198" s="20" t="s">
        <v>208</v>
      </c>
      <c r="L198" s="80">
        <f>L11+L33+L54+L75+L96+L117+L138+L159+L180</f>
        <v>58067.970493350556</v>
      </c>
      <c r="M198" s="136">
        <f>L198/$L$201</f>
        <v>7.5615267607971728E-2</v>
      </c>
      <c r="N198" s="80">
        <f>N11+N33+N54+N75+N96+N117+N138+N159+N180</f>
        <v>60954.47744295383</v>
      </c>
      <c r="O198" s="136">
        <f>N198/$N$201</f>
        <v>7.5488066201979731E-2</v>
      </c>
      <c r="P198" s="138">
        <f t="shared" si="71"/>
        <v>-2886.5069496032738</v>
      </c>
      <c r="Q198" s="137">
        <f>(L198/N198)-1</f>
        <v>-4.7355125836403111E-2</v>
      </c>
    </row>
    <row r="199" spans="2:17" x14ac:dyDescent="0.2">
      <c r="B199" s="20" t="s">
        <v>209</v>
      </c>
      <c r="C199" s="80">
        <f>C12+C34+C55+C76+C97+C118+C139+C160+C181</f>
        <v>3154.9952232037544</v>
      </c>
      <c r="D199" s="136">
        <f t="shared" si="68"/>
        <v>8.342963685037728E-3</v>
      </c>
      <c r="E199" s="80">
        <f>E12+E34+E55+E76+E97+E118+E139+E160+E181</f>
        <v>3130.2778416342558</v>
      </c>
      <c r="F199" s="136">
        <f t="shared" si="69"/>
        <v>7.5803400183826657E-3</v>
      </c>
      <c r="G199" s="138">
        <f t="shared" si="70"/>
        <v>24.717381569498684</v>
      </c>
      <c r="H199" s="137">
        <f>(C199/E199)-1</f>
        <v>7.8962260923760574E-3</v>
      </c>
      <c r="I199" s="151"/>
      <c r="K199" s="20" t="s">
        <v>209</v>
      </c>
      <c r="L199" s="80">
        <f>L12+L34+L55+L76+L97+L118+L139+L160+L181</f>
        <v>6092.121810435413</v>
      </c>
      <c r="M199" s="136">
        <f>L199/$L$201</f>
        <v>7.9330725197152441E-3</v>
      </c>
      <c r="N199" s="80">
        <f>N12+N34+N55+N76+N97+N118+N139+N160+N181</f>
        <v>5874.0761258076154</v>
      </c>
      <c r="O199" s="136">
        <f>N199/$N$201</f>
        <v>7.2746525942319002E-3</v>
      </c>
      <c r="P199" s="138">
        <f t="shared" si="71"/>
        <v>218.04568462779753</v>
      </c>
      <c r="Q199" s="137">
        <f>(L199/N199)-1</f>
        <v>3.7119996397360078E-2</v>
      </c>
    </row>
    <row r="200" spans="2:17" x14ac:dyDescent="0.2">
      <c r="C200" s="80"/>
      <c r="D200" s="136"/>
      <c r="E200" s="80"/>
      <c r="F200" s="136"/>
      <c r="G200" s="138"/>
      <c r="H200" s="137"/>
      <c r="I200" s="151"/>
      <c r="L200" s="80"/>
      <c r="M200" s="136"/>
      <c r="N200" s="80"/>
      <c r="O200" s="136"/>
      <c r="P200" s="138"/>
      <c r="Q200" s="137"/>
    </row>
    <row r="201" spans="2:17" x14ac:dyDescent="0.2">
      <c r="B201" s="65" t="s">
        <v>210</v>
      </c>
      <c r="C201" s="81">
        <f>SUM(C195:C199)</f>
        <v>378162.40634750971</v>
      </c>
      <c r="D201" s="136">
        <f>C201/$C$201</f>
        <v>1</v>
      </c>
      <c r="E201" s="81">
        <f>SUM(E195:E199)</f>
        <v>412946.89077840716</v>
      </c>
      <c r="F201" s="136">
        <f>E201/$E$201</f>
        <v>1</v>
      </c>
      <c r="G201" s="139">
        <f>C201-E201</f>
        <v>-34784.484430897457</v>
      </c>
      <c r="H201" s="140">
        <f>(C201/E201)-1</f>
        <v>-8.4234765311656745E-2</v>
      </c>
      <c r="I201" s="151"/>
      <c r="K201" s="65" t="s">
        <v>210</v>
      </c>
      <c r="L201" s="81">
        <f>SUM(L195:L199)</f>
        <v>767939.76045161474</v>
      </c>
      <c r="M201" s="136">
        <f>L201/$L$201</f>
        <v>1</v>
      </c>
      <c r="N201" s="81">
        <f>SUM(N195:N199)</f>
        <v>807471.70393610175</v>
      </c>
      <c r="O201" s="136">
        <f>N201/$N$201</f>
        <v>1</v>
      </c>
      <c r="P201" s="139">
        <f>L201-N201</f>
        <v>-39531.943484487012</v>
      </c>
      <c r="Q201" s="140">
        <f>(L201/N201)-1</f>
        <v>-4.8957682717282291E-2</v>
      </c>
    </row>
    <row r="202" spans="2:17" x14ac:dyDescent="0.2">
      <c r="C202" s="208">
        <f>C201-'Group Profit &amp; Loss Stm'!N8</f>
        <v>-3.2690004445612431E-6</v>
      </c>
      <c r="D202" s="143"/>
      <c r="E202" s="208">
        <f>E201-'Group Profit &amp; Loss Stm'!I8</f>
        <v>-4.6065542846918106E-7</v>
      </c>
      <c r="F202" s="141"/>
      <c r="G202" s="171"/>
      <c r="H202" s="137"/>
      <c r="I202" s="151"/>
      <c r="L202" s="80">
        <f>L201-'Group Profit &amp; Loss Stm'!N8-'Group Profit &amp; Loss Stm'!M8</f>
        <v>8.4591496619395912E-2</v>
      </c>
      <c r="M202" s="141"/>
      <c r="N202" s="80">
        <f>N201-'Group Profit &amp; Loss Stm'!H8-'Group Profit &amp; Loss Stm'!I8</f>
        <v>-8.05049785412848E-5</v>
      </c>
      <c r="O202" s="141"/>
      <c r="P202" s="171"/>
      <c r="Q202" s="137"/>
    </row>
    <row r="203" spans="2:17" x14ac:dyDescent="0.2">
      <c r="B203" s="65" t="s">
        <v>31</v>
      </c>
      <c r="C203" s="81">
        <f>C16+C38+C59+C80+C101+C122+C143+C164+C185</f>
        <v>94087.553444921374</v>
      </c>
      <c r="D203" s="142"/>
      <c r="E203" s="81">
        <f>E16+E38+E59+E80+E101+E122+E143+E164+E185</f>
        <v>103093.93337568021</v>
      </c>
      <c r="F203" s="142"/>
      <c r="G203" s="139">
        <f>C203-E203</f>
        <v>-9006.3799307588342</v>
      </c>
      <c r="H203" s="140">
        <f>(C203/E203)-1</f>
        <v>-8.7360910927116064E-2</v>
      </c>
      <c r="I203" s="151"/>
      <c r="K203" s="65" t="s">
        <v>31</v>
      </c>
      <c r="L203" s="81">
        <f>L16+L38+L59+L80+L101+L122+L143+L164+L185</f>
        <v>191566.15431569927</v>
      </c>
      <c r="M203" s="142"/>
      <c r="N203" s="81">
        <f>N16+N38+N59+N80+N101+N122+N143+N164+N185</f>
        <v>196787.83443434926</v>
      </c>
      <c r="O203" s="142"/>
      <c r="P203" s="139">
        <f>L203-N203</f>
        <v>-5221.6801186499943</v>
      </c>
      <c r="Q203" s="140">
        <f>(L203/N203)-1</f>
        <v>-2.6534567716847368E-2</v>
      </c>
    </row>
    <row r="204" spans="2:17" x14ac:dyDescent="0.2">
      <c r="C204" s="83">
        <f>C203-'Group Profit &amp; Loss Stm'!N10</f>
        <v>-4.8021320253610611E-10</v>
      </c>
      <c r="E204" s="83">
        <f>E203-'Group Profit &amp; Loss Stm'!I10</f>
        <v>3.9000005926936865E-6</v>
      </c>
      <c r="I204" s="151"/>
      <c r="L204" s="83">
        <f>L203-'Group Profit &amp; Loss Stm'!N10-'Group Profit &amp; Loss Stm'!M10</f>
        <v>-2.4626145750517026E-2</v>
      </c>
      <c r="N204" s="83">
        <f>N203-'Group Profit &amp; Loss Stm'!I10-'Group Profit &amp; Loss Stm'!H10</f>
        <v>3.8994476199150085E-6</v>
      </c>
    </row>
    <row r="205" spans="2:17" x14ac:dyDescent="0.2">
      <c r="C205" s="146">
        <f>C14+C36+C57+C78+C99+C120+C141+C162+C183</f>
        <v>378162.40634750982</v>
      </c>
      <c r="D205" s="146"/>
      <c r="E205" s="146">
        <f>E14+E36+E57+E78+E99+E120+E141+E162+E183</f>
        <v>412946.89077840728</v>
      </c>
      <c r="I205" s="151"/>
    </row>
    <row r="206" spans="2:17" x14ac:dyDescent="0.2">
      <c r="C206" s="83">
        <f>C205-C201</f>
        <v>0</v>
      </c>
      <c r="E206" s="83">
        <f>E205-E201</f>
        <v>0</v>
      </c>
      <c r="I206" s="151"/>
      <c r="L206" s="147"/>
      <c r="N206" s="82"/>
    </row>
    <row r="207" spans="2:17" x14ac:dyDescent="0.2">
      <c r="I207" s="151"/>
    </row>
    <row r="208" spans="2:17" x14ac:dyDescent="0.2">
      <c r="B208" s="20" t="s">
        <v>216</v>
      </c>
      <c r="I208" s="151"/>
      <c r="K208" s="20" t="s">
        <v>216</v>
      </c>
    </row>
    <row r="209" spans="2:17" x14ac:dyDescent="0.2">
      <c r="B209" s="20" t="s">
        <v>206</v>
      </c>
      <c r="C209" s="83">
        <f>C20+C41+C62+C83+C104+C125+C146+C167</f>
        <v>24232178</v>
      </c>
      <c r="D209" s="83"/>
      <c r="E209" s="83">
        <f>E20+E41+E62+E83+E104+E125+E146+E167</f>
        <v>24101160</v>
      </c>
      <c r="G209" s="83"/>
      <c r="H209" s="83"/>
      <c r="I209" s="152"/>
      <c r="K209" s="20" t="s">
        <v>206</v>
      </c>
      <c r="L209" s="76">
        <f>L20+L41+L62+L83+L104+L125+L146+L167</f>
        <v>48852282</v>
      </c>
      <c r="M209" s="76"/>
      <c r="N209" s="76">
        <f>N20+N41+N62+N83+N104+N125+N146+N167</f>
        <v>49109504</v>
      </c>
      <c r="P209" s="76"/>
      <c r="Q209" s="83"/>
    </row>
    <row r="210" spans="2:17" x14ac:dyDescent="0.2">
      <c r="B210" s="20" t="s">
        <v>217</v>
      </c>
      <c r="C210" s="83">
        <f>C21+C42+C63+C84+C105+C126+C147+C168</f>
        <v>5491225</v>
      </c>
      <c r="D210" s="83"/>
      <c r="E210" s="83">
        <f>E21+E42+E63+E84+E105+E126+E147+E168</f>
        <v>5930134</v>
      </c>
      <c r="G210" s="83"/>
      <c r="H210" s="83"/>
      <c r="I210" s="152"/>
      <c r="K210" s="20" t="s">
        <v>217</v>
      </c>
      <c r="L210" s="76">
        <f>L21+L42+L63+L84+L105+L126+L147+L168</f>
        <v>10884884</v>
      </c>
      <c r="M210" s="76"/>
      <c r="N210" s="76">
        <f>N21+N42+N63+N84+N105+N126+N147+N168</f>
        <v>11269903</v>
      </c>
      <c r="P210" s="76"/>
      <c r="Q210" s="83"/>
    </row>
    <row r="211" spans="2:17" x14ac:dyDescent="0.2">
      <c r="C211" s="83"/>
      <c r="D211" s="83"/>
      <c r="E211" s="83"/>
      <c r="G211" s="173"/>
      <c r="H211" s="83"/>
      <c r="I211" s="152"/>
      <c r="L211" s="83"/>
      <c r="M211" s="83"/>
      <c r="N211" s="83"/>
      <c r="P211" s="173"/>
      <c r="Q211" s="83"/>
    </row>
    <row r="212" spans="2:17" s="52" customFormat="1" x14ac:dyDescent="0.2">
      <c r="C212" s="148">
        <f>C209-'Aramex Courier'!N19</f>
        <v>0</v>
      </c>
      <c r="E212" s="148">
        <f>E209-'Aramex Courier'!I19</f>
        <v>0</v>
      </c>
      <c r="F212" s="20"/>
      <c r="G212" s="174"/>
      <c r="I212" s="155"/>
      <c r="L212" s="148">
        <f>L209-'Aramex Courier'!M19-'Aramex Courier'!N19</f>
        <v>0</v>
      </c>
      <c r="N212" s="148">
        <f>N209-'Aramex Courier'!H19-'Aramex Courier'!I19</f>
        <v>0</v>
      </c>
      <c r="P212" s="174"/>
    </row>
    <row r="213" spans="2:17" s="52" customFormat="1" x14ac:dyDescent="0.2">
      <c r="C213" s="148">
        <f>C210-'Aramex Courier'!N20</f>
        <v>0</v>
      </c>
      <c r="E213" s="148">
        <f>E210-'Aramex Courier'!I20</f>
        <v>0</v>
      </c>
      <c r="G213" s="174"/>
      <c r="L213" s="148">
        <f>L210-'Aramex Courier'!M20-'Aramex Courier'!N20</f>
        <v>0</v>
      </c>
      <c r="N213" s="148">
        <f>N210-'Aramex Courier'!H20-'Aramex Courier'!I20</f>
        <v>0</v>
      </c>
      <c r="P213" s="174"/>
    </row>
    <row r="214" spans="2:17" s="52" customFormat="1" x14ac:dyDescent="0.2">
      <c r="C214" s="148"/>
      <c r="E214" s="148"/>
      <c r="G214" s="174"/>
      <c r="L214" s="148"/>
      <c r="N214" s="148"/>
      <c r="P214" s="174"/>
    </row>
    <row r="215" spans="2:17" s="52" customFormat="1" x14ac:dyDescent="0.2">
      <c r="G215" s="174"/>
      <c r="P215" s="174"/>
    </row>
    <row r="216" spans="2:17" s="52" customFormat="1" x14ac:dyDescent="0.2">
      <c r="G216" s="174"/>
      <c r="P216" s="174"/>
    </row>
    <row r="217" spans="2:17" s="52" customFormat="1" x14ac:dyDescent="0.2">
      <c r="G217" s="174"/>
      <c r="P217" s="174"/>
    </row>
    <row r="218" spans="2:17" s="52" customFormat="1" x14ac:dyDescent="0.2">
      <c r="G218" s="174"/>
      <c r="P218" s="174"/>
    </row>
  </sheetData>
  <pageMargins left="0.7" right="0.7" top="0.75" bottom="0.75" header="0.3" footer="0.3"/>
  <pageSetup paperSize="9" orientation="portrait" r:id="rId1"/>
  <ignoredErrors>
    <ignoredError sqref="M14 M36 M57 M78 M95:M99 M94 M118:M120 M141 M159:M164 M178:M183 D14 D36 D57 D78 D118:D120 M195:M201 D195:D201 D141 D159:D162 D178 D183 C95:E99" formula="1"/>
    <ignoredError sqref="F21 F42:K42 H21:K21" formulaRange="1"/>
    <ignoredError sqref="Q94:Q96 O104:Q104 Q118 D101 F104:H104 H118 F94:H94 F96:H99 F95:H95 H158:H159 Q158:Q159 F100:H101 H178:H180" evalErro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06245-B883-4CA8-9EF0-15ADEE571A91}">
  <dimension ref="A1:R121"/>
  <sheetViews>
    <sheetView showGridLines="0" workbookViewId="0">
      <pane xSplit="2" ySplit="6" topLeftCell="C7" activePane="bottomRight" state="frozen"/>
      <selection pane="topRight" activeCell="P28" sqref="P28"/>
      <selection pane="bottomLeft" activeCell="P28" sqref="P28"/>
      <selection pane="bottomRight" activeCell="O137" sqref="O137"/>
    </sheetView>
  </sheetViews>
  <sheetFormatPr defaultColWidth="9.140625" defaultRowHeight="12.75" x14ac:dyDescent="0.2"/>
  <cols>
    <col min="1" max="1" width="3.42578125" style="20" customWidth="1"/>
    <col min="2" max="2" width="13.7109375" style="20" customWidth="1"/>
    <col min="3" max="9" width="15.140625" style="20" customWidth="1"/>
    <col min="10" max="10" width="9.140625" style="20"/>
    <col min="11" max="11" width="13.85546875" style="20" customWidth="1"/>
    <col min="12" max="16" width="13.5703125" style="20" customWidth="1"/>
    <col min="17" max="17" width="9.140625" style="20"/>
    <col min="18" max="18" width="9.42578125" style="20" bestFit="1" customWidth="1"/>
    <col min="19" max="16384" width="9.140625" style="20"/>
  </cols>
  <sheetData>
    <row r="1" spans="1:16" x14ac:dyDescent="0.2">
      <c r="A1" s="162">
        <f>'2023 IR Data Book'!$A$5</f>
        <v>0.27228666339922669</v>
      </c>
    </row>
    <row r="2" spans="1:16" ht="15" x14ac:dyDescent="0.25">
      <c r="C2" s="117" t="s">
        <v>304</v>
      </c>
      <c r="D2" s="117"/>
      <c r="E2" s="117"/>
    </row>
    <row r="3" spans="1:16" ht="15" x14ac:dyDescent="0.25">
      <c r="C3" s="117"/>
      <c r="D3" s="117"/>
      <c r="E3" s="117"/>
    </row>
    <row r="4" spans="1:16" x14ac:dyDescent="0.2">
      <c r="B4" s="118"/>
    </row>
    <row r="5" spans="1:16" x14ac:dyDescent="0.2">
      <c r="B5" s="119"/>
      <c r="C5" s="242" t="s">
        <v>20</v>
      </c>
      <c r="D5" s="242"/>
      <c r="E5" s="242"/>
      <c r="F5" s="242"/>
      <c r="G5" s="242"/>
      <c r="H5" s="242"/>
      <c r="I5" s="242"/>
      <c r="K5" s="119"/>
      <c r="L5" s="242" t="s">
        <v>218</v>
      </c>
      <c r="M5" s="242"/>
      <c r="N5" s="242"/>
      <c r="O5" s="242"/>
      <c r="P5" s="242"/>
    </row>
    <row r="6" spans="1:16" x14ac:dyDescent="0.2">
      <c r="B6" s="119"/>
      <c r="C6" s="130" t="s">
        <v>219</v>
      </c>
      <c r="D6" s="130" t="s">
        <v>269</v>
      </c>
      <c r="E6" s="130" t="s">
        <v>206</v>
      </c>
      <c r="F6" s="130" t="s">
        <v>220</v>
      </c>
      <c r="G6" s="130" t="s">
        <v>221</v>
      </c>
      <c r="H6" s="130" t="s">
        <v>222</v>
      </c>
      <c r="I6" s="130" t="s">
        <v>215</v>
      </c>
      <c r="K6" s="119"/>
      <c r="L6" s="130" t="s">
        <v>219</v>
      </c>
      <c r="M6" s="130" t="s">
        <v>220</v>
      </c>
      <c r="N6" s="130" t="s">
        <v>221</v>
      </c>
      <c r="O6" s="130" t="s">
        <v>222</v>
      </c>
      <c r="P6" s="130" t="s">
        <v>215</v>
      </c>
    </row>
    <row r="7" spans="1:16" x14ac:dyDescent="0.2">
      <c r="B7" s="53" t="s">
        <v>223</v>
      </c>
      <c r="C7" s="120">
        <f>'Aramex Courier'!C7</f>
        <v>272869.99621117738</v>
      </c>
      <c r="D7" s="120">
        <f>'Aramex Express'!C7</f>
        <v>176039.99451586505</v>
      </c>
      <c r="E7" s="120">
        <f>'Aramex Domestic'!C7</f>
        <v>96830.001696152583</v>
      </c>
      <c r="F7" s="120">
        <f>'Aramex Freight'!C7</f>
        <v>78494.956145721284</v>
      </c>
      <c r="G7" s="120">
        <f>'Aramex Logistics'!C7</f>
        <v>28477.302607920814</v>
      </c>
      <c r="H7" s="120">
        <f>29924.5277420579*('2023 IR Data Book'!$A$5)</f>
        <v>8148.0498126825405</v>
      </c>
      <c r="I7" s="120">
        <f>C7+F7+G7+H7</f>
        <v>387990.30477750208</v>
      </c>
      <c r="J7" s="83">
        <f t="shared" ref="J7:J9" si="0">C7-D7-E7</f>
        <v>-8.4025668911635876E-7</v>
      </c>
      <c r="K7" s="53" t="s">
        <v>223</v>
      </c>
      <c r="L7" s="120">
        <f>768414.063708547*('2023 IR Data Book'!$A$5)</f>
        <v>209228.90151624108</v>
      </c>
      <c r="M7" s="120">
        <f>262436.900433545*('2023 IR Data Book'!$A$5)</f>
        <v>71458.067971885044</v>
      </c>
      <c r="N7" s="120">
        <f>95044.3885739144*('2023 IR Data Book'!$A$5)</f>
        <v>25879.319439610739</v>
      </c>
      <c r="O7" s="120">
        <f>25748.7833390512*('2023 IR Data Book'!$A$5)</f>
        <v>7011.0503019798498</v>
      </c>
      <c r="P7" s="120">
        <f>SUM(L7:O7)</f>
        <v>313577.33922971674</v>
      </c>
    </row>
    <row r="8" spans="1:16" x14ac:dyDescent="0.2">
      <c r="B8" s="54" t="s">
        <v>177</v>
      </c>
      <c r="C8" s="121">
        <f>'Aramex Courier'!C10</f>
        <v>77632.834008042817</v>
      </c>
      <c r="D8" s="121">
        <f>'Aramex Express'!C10</f>
        <v>55110.830541414529</v>
      </c>
      <c r="E8" s="121">
        <f>'Aramex Domestic'!C10</f>
        <v>22522.003455075421</v>
      </c>
      <c r="F8" s="121">
        <f>'Aramex Freight'!C9</f>
        <v>10029.123907422269</v>
      </c>
      <c r="G8" s="121">
        <f>'Aramex Logistics'!C9</f>
        <v>4909.8155641331177</v>
      </c>
      <c r="H8" s="121">
        <f>18667.8494106557*('2023 IR Data Book'!$A$5)</f>
        <v>5083.0064288666608</v>
      </c>
      <c r="I8" s="121">
        <f>C8+F8+G8+H8</f>
        <v>97654.779908464858</v>
      </c>
      <c r="J8" s="83">
        <f t="shared" si="0"/>
        <v>1.1552867363207042E-5</v>
      </c>
      <c r="K8" s="54" t="s">
        <v>177</v>
      </c>
      <c r="L8" s="121">
        <f>264108*('2023 IR Data Book'!$A$5)</f>
        <v>71913.086097042964</v>
      </c>
      <c r="M8" s="121">
        <f>51693*('2023 IR Data Book'!$A$5)</f>
        <v>14075.314491096226</v>
      </c>
      <c r="N8" s="121">
        <f>17857*('2023 IR Data Book'!$A$5)</f>
        <v>4862.2229483199908</v>
      </c>
      <c r="O8" s="121">
        <f>16690*('2023 IR Data Book'!$A$5)</f>
        <v>4544.4644121330939</v>
      </c>
      <c r="P8" s="121">
        <f>SUM(L8:O8)</f>
        <v>95395.087948592278</v>
      </c>
    </row>
    <row r="9" spans="1:16" x14ac:dyDescent="0.2">
      <c r="B9" s="55" t="s">
        <v>178</v>
      </c>
      <c r="C9" s="157">
        <f>C8/C7</f>
        <v>0.28450483778349095</v>
      </c>
      <c r="D9" s="157">
        <f>D8/D7</f>
        <v>0.3130585790631108</v>
      </c>
      <c r="E9" s="157">
        <f>E8/E7</f>
        <v>0.23259323619293404</v>
      </c>
      <c r="F9" s="157">
        <f t="shared" ref="F9:I9" si="1">F8/F7</f>
        <v>0.12776774967303361</v>
      </c>
      <c r="G9" s="157">
        <f t="shared" si="1"/>
        <v>0.17241153882206098</v>
      </c>
      <c r="H9" s="157">
        <f t="shared" si="1"/>
        <v>0.62383104493972263</v>
      </c>
      <c r="I9" s="158">
        <f t="shared" si="1"/>
        <v>0.25169386633118634</v>
      </c>
      <c r="J9" s="83">
        <f t="shared" si="0"/>
        <v>-0.26114697747255389</v>
      </c>
      <c r="K9" s="55" t="s">
        <v>178</v>
      </c>
      <c r="L9" s="157">
        <f>L8/L7</f>
        <v>0.34370531784042663</v>
      </c>
      <c r="M9" s="157">
        <f t="shared" ref="M9:P9" si="2">M8/M7</f>
        <v>0.19697306253275856</v>
      </c>
      <c r="N9" s="157">
        <f t="shared" si="2"/>
        <v>0.18788063417455639</v>
      </c>
      <c r="O9" s="157">
        <f t="shared" si="2"/>
        <v>0.64818596592436128</v>
      </c>
      <c r="P9" s="158">
        <f t="shared" si="2"/>
        <v>0.3042155028897317</v>
      </c>
    </row>
    <row r="10" spans="1:16" x14ac:dyDescent="0.2">
      <c r="B10" s="54" t="s">
        <v>224</v>
      </c>
      <c r="C10" s="121">
        <f>'Aramex Courier'!C13</f>
        <v>18459.274220976989</v>
      </c>
      <c r="D10" s="121"/>
      <c r="E10" s="121"/>
      <c r="F10" s="121">
        <f>'Aramex Freight'!C12</f>
        <v>1040.930266204912</v>
      </c>
      <c r="G10" s="121">
        <f>'Aramex Logistics'!C12</f>
        <v>1552.6872568352394</v>
      </c>
      <c r="H10" s="121">
        <f>2138.62386501166*('2023 IR Data Book'!$A$5)</f>
        <v>582.3187564699831</v>
      </c>
      <c r="I10" s="121">
        <f>C10+F10+G10+H10</f>
        <v>21635.210500487126</v>
      </c>
      <c r="J10" s="83"/>
      <c r="K10" s="54" t="s">
        <v>224</v>
      </c>
      <c r="L10" s="121">
        <f>67870*('2023 IR Data Book'!$A$5)</f>
        <v>18480.095844905514</v>
      </c>
      <c r="M10" s="121">
        <f>23017*('2023 IR Data Book'!$A$5)</f>
        <v>6267.222131460001</v>
      </c>
      <c r="N10" s="121">
        <f>6653*('2023 IR Data Book'!$A$5)</f>
        <v>1811.5231715950551</v>
      </c>
      <c r="O10" s="121">
        <f>1967*('2023 IR Data Book'!$A$5)</f>
        <v>535.58786690627892</v>
      </c>
      <c r="P10" s="121">
        <f>SUM(L10:O10)</f>
        <v>27094.429014866848</v>
      </c>
    </row>
    <row r="11" spans="1:16" x14ac:dyDescent="0.2">
      <c r="B11" s="55" t="s">
        <v>181</v>
      </c>
      <c r="C11" s="157">
        <f>C10/C7</f>
        <v>6.7648603647471509E-2</v>
      </c>
      <c r="D11" s="157"/>
      <c r="E11" s="157"/>
      <c r="F11" s="157">
        <f t="shared" ref="F11:I11" si="3">F10/F7</f>
        <v>1.3261110233280289E-2</v>
      </c>
      <c r="G11" s="157">
        <f t="shared" si="3"/>
        <v>5.4523677267220086E-2</v>
      </c>
      <c r="H11" s="157">
        <f t="shared" si="3"/>
        <v>7.1467255338031527E-2</v>
      </c>
      <c r="I11" s="158">
        <f t="shared" si="3"/>
        <v>5.5762245174899694E-2</v>
      </c>
      <c r="J11" s="83"/>
      <c r="K11" s="55" t="s">
        <v>181</v>
      </c>
      <c r="L11" s="157">
        <f>L10/L7</f>
        <v>8.8324775931928431E-2</v>
      </c>
      <c r="M11" s="157">
        <f t="shared" ref="M11:P11" si="4">M10/M7</f>
        <v>8.7704891964414999E-2</v>
      </c>
      <c r="N11" s="157">
        <f t="shared" si="4"/>
        <v>6.9998872104122964E-2</v>
      </c>
      <c r="O11" s="157">
        <f t="shared" si="4"/>
        <v>7.6391958955854919E-2</v>
      </c>
      <c r="P11" s="158">
        <f t="shared" si="4"/>
        <v>8.6404295289393779E-2</v>
      </c>
    </row>
    <row r="12" spans="1:16" x14ac:dyDescent="0.2">
      <c r="B12" s="55" t="s">
        <v>182</v>
      </c>
      <c r="C12" s="156">
        <f>'Aramex Courier'!C15</f>
        <v>34572.725176407177</v>
      </c>
      <c r="D12" s="156"/>
      <c r="E12" s="156"/>
      <c r="F12" s="156">
        <f>'Aramex Freight'!C14</f>
        <v>3172.004430026956</v>
      </c>
      <c r="G12" s="156">
        <f>'Aramex Logistics'!C14</f>
        <v>7076.02872459628</v>
      </c>
      <c r="H12" s="156">
        <f>5237.50723887273*('2023 IR Data Book'!$A$5)</f>
        <v>1426.1033706019523</v>
      </c>
      <c r="I12" s="121">
        <f>C12+F12+G12+H12</f>
        <v>46246.86170163237</v>
      </c>
      <c r="J12" s="83"/>
      <c r="K12" s="55" t="s">
        <v>182</v>
      </c>
      <c r="L12" s="156">
        <f>122353.985142297*('2023 IR Data Book'!$A$5)</f>
        <v>33315.358367994602</v>
      </c>
      <c r="M12" s="156">
        <f>30232.6171423544*('2023 IR Data Book'!$A$5)</f>
        <v>8231.9384475179431</v>
      </c>
      <c r="N12" s="156">
        <f>25377.6620862351*('2023 IR Data Book'!$A$5)</f>
        <v>6909.9989343340139</v>
      </c>
      <c r="O12" s="156">
        <f>4921.08205567359*('2023 IR Data Book'!$A$5)</f>
        <v>1339.9450132531692</v>
      </c>
      <c r="P12" s="121">
        <f>SUM(L12:O12)</f>
        <v>49797.240763099726</v>
      </c>
    </row>
    <row r="13" spans="1:16" x14ac:dyDescent="0.2">
      <c r="B13" s="122" t="s">
        <v>183</v>
      </c>
      <c r="C13" s="159">
        <f>C12/C7</f>
        <v>0.12670035422161596</v>
      </c>
      <c r="D13" s="159"/>
      <c r="E13" s="159"/>
      <c r="F13" s="159">
        <f t="shared" ref="F13:I13" si="5">F12/F7</f>
        <v>4.0410296225127075E-2</v>
      </c>
      <c r="G13" s="159">
        <f t="shared" si="5"/>
        <v>0.24847959871831818</v>
      </c>
      <c r="H13" s="159">
        <f t="shared" si="5"/>
        <v>0.17502388956707221</v>
      </c>
      <c r="I13" s="159">
        <f t="shared" si="5"/>
        <v>0.11919592096032712</v>
      </c>
      <c r="J13" s="83"/>
      <c r="K13" s="122" t="s">
        <v>183</v>
      </c>
      <c r="L13" s="159">
        <f t="shared" ref="L13" si="6">L12/L7</f>
        <v>0.159229237101398</v>
      </c>
      <c r="M13" s="159">
        <f t="shared" ref="M13" si="7">M12/M7</f>
        <v>0.11519956641924288</v>
      </c>
      <c r="N13" s="159">
        <f t="shared" ref="N13" si="8">N12/N7</f>
        <v>0.26700852587945606</v>
      </c>
      <c r="O13" s="159">
        <f t="shared" ref="O13:P13" si="9">O12/O7</f>
        <v>0.19111901292090036</v>
      </c>
      <c r="P13" s="159">
        <f t="shared" si="9"/>
        <v>0.15880369699361424</v>
      </c>
    </row>
    <row r="14" spans="1:16" x14ac:dyDescent="0.2">
      <c r="C14" s="123"/>
      <c r="D14" s="123"/>
      <c r="E14" s="123"/>
      <c r="F14" s="123"/>
      <c r="G14" s="123"/>
      <c r="H14" s="123"/>
      <c r="I14" s="123"/>
      <c r="L14" s="123"/>
      <c r="M14" s="123"/>
      <c r="N14" s="123"/>
      <c r="O14" s="123"/>
      <c r="P14" s="123"/>
    </row>
    <row r="15" spans="1:16" x14ac:dyDescent="0.2">
      <c r="C15" s="123"/>
      <c r="D15" s="123"/>
      <c r="E15" s="123"/>
      <c r="F15" s="123"/>
      <c r="G15" s="123"/>
      <c r="H15" s="123"/>
      <c r="I15" s="123"/>
      <c r="L15" s="123"/>
      <c r="M15" s="123"/>
      <c r="N15" s="123"/>
      <c r="O15" s="123"/>
      <c r="P15" s="123"/>
    </row>
    <row r="16" spans="1:16" x14ac:dyDescent="0.2">
      <c r="C16" s="123"/>
      <c r="D16" s="123"/>
      <c r="E16" s="123"/>
      <c r="F16" s="123"/>
      <c r="G16" s="123"/>
      <c r="H16" s="123"/>
      <c r="I16" s="123"/>
      <c r="L16" s="123"/>
      <c r="M16" s="123"/>
      <c r="N16" s="123"/>
      <c r="O16" s="123"/>
      <c r="P16" s="123"/>
    </row>
    <row r="17" spans="2:16" x14ac:dyDescent="0.2">
      <c r="C17" s="123"/>
      <c r="D17" s="123"/>
      <c r="E17" s="123"/>
      <c r="F17" s="123"/>
      <c r="G17" s="123"/>
      <c r="H17" s="123"/>
      <c r="I17" s="123"/>
      <c r="L17" s="123"/>
      <c r="M17" s="123"/>
      <c r="N17" s="123"/>
      <c r="O17" s="123"/>
      <c r="P17" s="123"/>
    </row>
    <row r="18" spans="2:16" x14ac:dyDescent="0.2">
      <c r="B18" s="119"/>
      <c r="C18" s="242" t="s">
        <v>21</v>
      </c>
      <c r="D18" s="242"/>
      <c r="E18" s="242"/>
      <c r="F18" s="242"/>
      <c r="G18" s="242"/>
      <c r="H18" s="242"/>
      <c r="I18" s="242"/>
      <c r="K18" s="119"/>
      <c r="L18" s="242" t="s">
        <v>225</v>
      </c>
      <c r="M18" s="242"/>
      <c r="N18" s="242"/>
      <c r="O18" s="242"/>
      <c r="P18" s="242"/>
    </row>
    <row r="19" spans="2:16" x14ac:dyDescent="0.2">
      <c r="B19" s="119"/>
      <c r="C19" s="130" t="s">
        <v>219</v>
      </c>
      <c r="D19" s="130" t="s">
        <v>269</v>
      </c>
      <c r="E19" s="130" t="s">
        <v>206</v>
      </c>
      <c r="F19" s="130" t="s">
        <v>220</v>
      </c>
      <c r="G19" s="130" t="s">
        <v>221</v>
      </c>
      <c r="H19" s="130" t="s">
        <v>222</v>
      </c>
      <c r="I19" s="130" t="s">
        <v>215</v>
      </c>
      <c r="K19" s="119"/>
      <c r="L19" s="130" t="s">
        <v>219</v>
      </c>
      <c r="M19" s="130" t="s">
        <v>220</v>
      </c>
      <c r="N19" s="130" t="s">
        <v>221</v>
      </c>
      <c r="O19" s="130" t="s">
        <v>222</v>
      </c>
      <c r="P19" s="130" t="s">
        <v>215</v>
      </c>
    </row>
    <row r="20" spans="2:16" x14ac:dyDescent="0.2">
      <c r="B20" s="53" t="s">
        <v>223</v>
      </c>
      <c r="C20" s="120">
        <f>'Aramex Courier'!D7</f>
        <v>299728.17011568911</v>
      </c>
      <c r="D20" s="120">
        <f>'Aramex Express'!D7</f>
        <v>199737.43791727169</v>
      </c>
      <c r="E20" s="120">
        <f>'Aramex Domestic'!D7</f>
        <v>99990.732198416925</v>
      </c>
      <c r="F20" s="120">
        <f>'Aramex Freight'!D7</f>
        <v>89472.005469589654</v>
      </c>
      <c r="G20" s="120">
        <f>'Aramex Logistics'!D7</f>
        <v>29627.234527230841</v>
      </c>
      <c r="H20" s="120">
        <f>32737.7270639149*('2023 IR Data Book'!$A$5)</f>
        <v>8914.04646950795</v>
      </c>
      <c r="I20" s="120">
        <f>C20+F20+G20+H20</f>
        <v>427741.45658201759</v>
      </c>
      <c r="J20" s="28">
        <f>C20-D20-E20</f>
        <v>4.9476511776447296E-10</v>
      </c>
      <c r="K20" s="53" t="s">
        <v>223</v>
      </c>
      <c r="L20" s="120">
        <f>918423.610580826*('2023 IR Data Book'!$A$5)</f>
        <v>250074.50051212381</v>
      </c>
      <c r="M20" s="120">
        <f>267575.35078716*('2023 IR Data Book'!$A$5)</f>
        <v>72857.199473713437</v>
      </c>
      <c r="N20" s="120">
        <f>85013.8082673105*('2023 IR Data Book'!$A$5)</f>
        <v>23148.126195967568</v>
      </c>
      <c r="O20" s="120">
        <f>22763.1096013526*('2023 IR Data Book'!$A$5)</f>
        <v>6198.0911619432009</v>
      </c>
      <c r="P20" s="120">
        <f>SUM(L20:O20)</f>
        <v>352277.91734374798</v>
      </c>
    </row>
    <row r="21" spans="2:16" x14ac:dyDescent="0.2">
      <c r="B21" s="54" t="s">
        <v>177</v>
      </c>
      <c r="C21" s="121">
        <f>'Aramex Courier'!D10</f>
        <v>88575.219637157279</v>
      </c>
      <c r="D21" s="121">
        <f>'Aramex Express'!D10</f>
        <v>64029.434303902701</v>
      </c>
      <c r="E21" s="121">
        <f>'Aramex Domestic'!D10</f>
        <v>24545.785357897665</v>
      </c>
      <c r="F21" s="121">
        <f>'Aramex Freight'!D9</f>
        <v>9245.0441605478409</v>
      </c>
      <c r="G21" s="121">
        <f>'Aramex Logistics'!D9</f>
        <v>1882.8131466358973</v>
      </c>
      <c r="H21" s="121">
        <f>22494.6156898403*('2023 IR Data Book'!$A$5)</f>
        <v>6124.9838506345086</v>
      </c>
      <c r="I21" s="121">
        <f>C21+F21+G21+H21</f>
        <v>105828.06079497552</v>
      </c>
      <c r="J21" s="28">
        <f t="shared" ref="J21:J22" si="10">C21-D21-E21</f>
        <v>-2.4643086362630129E-5</v>
      </c>
      <c r="K21" s="54" t="s">
        <v>177</v>
      </c>
      <c r="L21" s="121">
        <f>311978*('2023 IR Data Book'!$A$5)</f>
        <v>84947.44867396394</v>
      </c>
      <c r="M21" s="121">
        <f>30987*('2023 IR Data Book'!$A$5)</f>
        <v>8437.3468387518369</v>
      </c>
      <c r="N21" s="121">
        <f>11371*('2023 IR Data Book'!$A$5)</f>
        <v>3096.1716495126066</v>
      </c>
      <c r="O21" s="121">
        <f>14079*('2023 IR Data Book'!$A$5)</f>
        <v>3833.5239339977124</v>
      </c>
      <c r="P21" s="121">
        <f>SUM(L21:O21)</f>
        <v>100314.49109622609</v>
      </c>
    </row>
    <row r="22" spans="2:16" x14ac:dyDescent="0.2">
      <c r="B22" s="55" t="s">
        <v>178</v>
      </c>
      <c r="C22" s="157">
        <f>C21/C20</f>
        <v>0.2955185013239463</v>
      </c>
      <c r="D22" s="157">
        <f t="shared" ref="D22:E22" si="11">D21/D20</f>
        <v>0.32056801654992068</v>
      </c>
      <c r="E22" s="157">
        <f t="shared" si="11"/>
        <v>0.24548060423430201</v>
      </c>
      <c r="F22" s="157">
        <f t="shared" ref="F22:I22" si="12">F21/F20</f>
        <v>0.10332890284537222</v>
      </c>
      <c r="G22" s="157">
        <f t="shared" si="12"/>
        <v>6.3550080751052729E-2</v>
      </c>
      <c r="H22" s="157">
        <f t="shared" si="12"/>
        <v>0.68711598841065991</v>
      </c>
      <c r="I22" s="158">
        <f t="shared" si="12"/>
        <v>0.24741127886135453</v>
      </c>
      <c r="J22" s="28">
        <f t="shared" si="10"/>
        <v>-0.27053011946027639</v>
      </c>
      <c r="K22" s="55" t="s">
        <v>178</v>
      </c>
      <c r="L22" s="157">
        <f>L21/L20</f>
        <v>0.33968856680709686</v>
      </c>
      <c r="M22" s="157">
        <f t="shared" ref="M22:P22" si="13">M21/M20</f>
        <v>0.11580663132400519</v>
      </c>
      <c r="N22" s="157">
        <f t="shared" si="13"/>
        <v>0.13375474210314109</v>
      </c>
      <c r="O22" s="157">
        <f t="shared" si="13"/>
        <v>0.61850073415116424</v>
      </c>
      <c r="P22" s="158">
        <f t="shared" si="13"/>
        <v>0.28475952126837567</v>
      </c>
    </row>
    <row r="23" spans="2:16" x14ac:dyDescent="0.2">
      <c r="B23" s="54" t="s">
        <v>224</v>
      </c>
      <c r="C23" s="121">
        <f>'Aramex Courier'!D13</f>
        <v>28488.472398804388</v>
      </c>
      <c r="D23" s="121"/>
      <c r="E23" s="121"/>
      <c r="F23" s="121">
        <f>'Aramex Freight'!D12</f>
        <v>46.782688670048735</v>
      </c>
      <c r="G23" s="121">
        <f>'Aramex Logistics'!D12</f>
        <v>-1385.5008681730571</v>
      </c>
      <c r="H23" s="121">
        <f>-159.111807897699*('2023 IR Data Book'!$A$5)</f>
        <v>-43.324023279883193</v>
      </c>
      <c r="I23" s="121">
        <f>C23+F23+G23+H23</f>
        <v>27106.430196021498</v>
      </c>
      <c r="J23" s="28"/>
      <c r="K23" s="54" t="s">
        <v>224</v>
      </c>
      <c r="L23" s="121">
        <f>126244*('2023 IR Data Book'!$A$5)</f>
        <v>34374.557534171974</v>
      </c>
      <c r="M23" s="121">
        <f>3953*('2023 IR Data Book'!$A$5)</f>
        <v>1076.3491804171431</v>
      </c>
      <c r="N23" s="121">
        <f>1270*('2023 IR Data Book'!$A$5)</f>
        <v>345.80406251701788</v>
      </c>
      <c r="O23" s="121">
        <f>-4745*('2023 IR Data Book'!$A$5)</f>
        <v>-1292.0002178293307</v>
      </c>
      <c r="P23" s="121">
        <f>SUM(L23:O23)</f>
        <v>34504.710559276806</v>
      </c>
    </row>
    <row r="24" spans="2:16" x14ac:dyDescent="0.2">
      <c r="B24" s="55" t="s">
        <v>181</v>
      </c>
      <c r="C24" s="157">
        <f>C23/C20</f>
        <v>9.5047697344591953E-2</v>
      </c>
      <c r="D24" s="157"/>
      <c r="E24" s="157"/>
      <c r="F24" s="157">
        <f t="shared" ref="F24:I24" si="14">F23/F20</f>
        <v>5.2287515435148646E-4</v>
      </c>
      <c r="G24" s="157">
        <f t="shared" si="14"/>
        <v>-4.6764434490152031E-2</v>
      </c>
      <c r="H24" s="157">
        <f t="shared" si="14"/>
        <v>-4.860197153793237E-3</v>
      </c>
      <c r="I24" s="158">
        <f t="shared" si="14"/>
        <v>6.3371061604883178E-2</v>
      </c>
      <c r="J24" s="28"/>
      <c r="K24" s="55" t="s">
        <v>181</v>
      </c>
      <c r="L24" s="157">
        <f>L23/L20</f>
        <v>0.13745726758936572</v>
      </c>
      <c r="M24" s="157">
        <f t="shared" ref="M24:P24" si="15">M23/M20</f>
        <v>1.4773408643101706E-2</v>
      </c>
      <c r="N24" s="157">
        <f t="shared" si="15"/>
        <v>1.4938749667662404E-2</v>
      </c>
      <c r="O24" s="157">
        <f t="shared" si="15"/>
        <v>-0.20845130929379038</v>
      </c>
      <c r="P24" s="158">
        <f t="shared" si="15"/>
        <v>9.7947412711673273E-2</v>
      </c>
    </row>
    <row r="25" spans="2:16" x14ac:dyDescent="0.2">
      <c r="B25" s="55" t="s">
        <v>182</v>
      </c>
      <c r="C25" s="156">
        <f>'Aramex Courier'!D15</f>
        <v>44773.075117149434</v>
      </c>
      <c r="D25" s="156"/>
      <c r="E25" s="156"/>
      <c r="F25" s="156">
        <f>'Aramex Freight'!D14</f>
        <v>2103.6559215621305</v>
      </c>
      <c r="G25" s="156">
        <f>'Aramex Logistics'!D14</f>
        <v>4679.2517905614004</v>
      </c>
      <c r="H25" s="156">
        <f>3366.65007097598*('2023 IR Data Book'!$A$5)</f>
        <v>916.69391465881927</v>
      </c>
      <c r="I25" s="121">
        <f>C25+F25+G25+H25</f>
        <v>52472.676743931785</v>
      </c>
      <c r="J25" s="28"/>
      <c r="K25" s="55" t="s">
        <v>182</v>
      </c>
      <c r="L25" s="156">
        <f>179449.986513259*('2023 IR Data Book'!$A$5)</f>
        <v>48861.838074731524</v>
      </c>
      <c r="M25" s="156">
        <f>10653.4667073961*('2023 IR Data Book'!$A$5)</f>
        <v>2900.7969033916302</v>
      </c>
      <c r="N25" s="156">
        <f>21000.470435179*('2023 IR Data Book'!$A$5)</f>
        <v>5718.1480246089959</v>
      </c>
      <c r="O25" s="156">
        <f>-1714.19742397212*('2023 IR Data Book'!$A$5)</f>
        <v>-466.75309698091814</v>
      </c>
      <c r="P25" s="121">
        <f>SUM(L25:O25)</f>
        <v>57014.029905751231</v>
      </c>
    </row>
    <row r="26" spans="2:16" x14ac:dyDescent="0.2">
      <c r="B26" s="122" t="s">
        <v>183</v>
      </c>
      <c r="C26" s="159">
        <f>C25/C20</f>
        <v>0.14937893592006357</v>
      </c>
      <c r="D26" s="159"/>
      <c r="E26" s="159"/>
      <c r="F26" s="159">
        <f t="shared" ref="F26:I26" si="16">F25/F20</f>
        <v>2.3511889674554521E-2</v>
      </c>
      <c r="G26" s="159">
        <f t="shared" si="16"/>
        <v>0.15793751476401313</v>
      </c>
      <c r="H26" s="159">
        <f t="shared" si="16"/>
        <v>0.10283701322340316</v>
      </c>
      <c r="I26" s="159">
        <f t="shared" si="16"/>
        <v>0.12267381600845691</v>
      </c>
      <c r="J26" s="28"/>
      <c r="K26" s="122" t="s">
        <v>183</v>
      </c>
      <c r="L26" s="159">
        <f>L25/L20</f>
        <v>0.19538912593914254</v>
      </c>
      <c r="M26" s="159">
        <f t="shared" ref="M26:P26" si="17">M25/M20</f>
        <v>3.9814828518604059E-2</v>
      </c>
      <c r="N26" s="159">
        <f t="shared" si="17"/>
        <v>0.24702422892463341</v>
      </c>
      <c r="O26" s="159">
        <f t="shared" si="17"/>
        <v>-7.5305942553220456E-2</v>
      </c>
      <c r="P26" s="159">
        <f t="shared" si="17"/>
        <v>0.16184389397907595</v>
      </c>
    </row>
    <row r="27" spans="2:16" x14ac:dyDescent="0.2">
      <c r="C27" s="123"/>
      <c r="D27" s="123"/>
      <c r="E27" s="123"/>
      <c r="F27" s="123"/>
      <c r="G27" s="123"/>
      <c r="H27" s="123"/>
      <c r="I27" s="123"/>
      <c r="L27" s="123"/>
      <c r="M27" s="123"/>
      <c r="N27" s="123"/>
      <c r="O27" s="123"/>
      <c r="P27" s="123"/>
    </row>
    <row r="28" spans="2:16" x14ac:dyDescent="0.2">
      <c r="C28" s="123"/>
      <c r="D28" s="123"/>
      <c r="E28" s="123"/>
      <c r="F28" s="123"/>
      <c r="G28" s="123"/>
      <c r="H28" s="123"/>
      <c r="I28" s="123"/>
      <c r="L28" s="123"/>
      <c r="M28" s="123"/>
      <c r="N28" s="123"/>
      <c r="O28" s="123"/>
      <c r="P28" s="123"/>
    </row>
    <row r="29" spans="2:16" x14ac:dyDescent="0.2">
      <c r="C29" s="123"/>
      <c r="D29" s="123"/>
      <c r="E29" s="123"/>
      <c r="F29" s="123"/>
      <c r="G29" s="123"/>
      <c r="H29" s="123"/>
      <c r="I29" s="123"/>
      <c r="L29" s="123"/>
      <c r="M29" s="123"/>
      <c r="N29" s="123"/>
      <c r="O29" s="123"/>
      <c r="P29" s="123"/>
    </row>
    <row r="31" spans="2:16" x14ac:dyDescent="0.2">
      <c r="B31" s="119"/>
      <c r="C31" s="242" t="s">
        <v>22</v>
      </c>
      <c r="D31" s="242"/>
      <c r="E31" s="242"/>
      <c r="F31" s="242"/>
      <c r="G31" s="242"/>
      <c r="H31" s="242"/>
      <c r="I31" s="242"/>
      <c r="K31" s="119"/>
      <c r="L31" s="242" t="s">
        <v>226</v>
      </c>
      <c r="M31" s="242"/>
      <c r="N31" s="242"/>
      <c r="O31" s="242"/>
      <c r="P31" s="242"/>
    </row>
    <row r="32" spans="2:16" x14ac:dyDescent="0.2">
      <c r="B32" s="119"/>
      <c r="C32" s="130" t="s">
        <v>219</v>
      </c>
      <c r="D32" s="130" t="s">
        <v>269</v>
      </c>
      <c r="E32" s="130" t="s">
        <v>206</v>
      </c>
      <c r="F32" s="130" t="s">
        <v>220</v>
      </c>
      <c r="G32" s="130" t="s">
        <v>221</v>
      </c>
      <c r="H32" s="130" t="s">
        <v>222</v>
      </c>
      <c r="I32" s="130" t="s">
        <v>215</v>
      </c>
      <c r="K32" s="119"/>
      <c r="L32" s="130" t="s">
        <v>219</v>
      </c>
      <c r="M32" s="130" t="s">
        <v>220</v>
      </c>
      <c r="N32" s="130" t="s">
        <v>221</v>
      </c>
      <c r="O32" s="130" t="s">
        <v>222</v>
      </c>
      <c r="P32" s="130" t="s">
        <v>215</v>
      </c>
    </row>
    <row r="33" spans="2:18" x14ac:dyDescent="0.2">
      <c r="B33" s="53" t="s">
        <v>223</v>
      </c>
      <c r="C33" s="120">
        <f>'Aramex Courier'!E7</f>
        <v>291251.90801540873</v>
      </c>
      <c r="D33" s="120">
        <f>'Aramex Express'!E7</f>
        <v>165789.03939558187</v>
      </c>
      <c r="E33" s="120">
        <f>'Aramex Domestic'!E7</f>
        <v>125462.86861982736</v>
      </c>
      <c r="F33" s="120">
        <f>'Aramex Freight'!E7</f>
        <v>86587.146988338238</v>
      </c>
      <c r="G33" s="120">
        <f>'Aramex Logistics'!E7</f>
        <v>29528.129983085277</v>
      </c>
      <c r="H33" s="120">
        <f>-34692.5657379868*('2023 IR Data Book'!$A$5)</f>
        <v>-9446.3229695547561</v>
      </c>
      <c r="I33" s="120">
        <f>C33+F33+G33+H33</f>
        <v>397920.86201727751</v>
      </c>
      <c r="J33" s="83">
        <f t="shared" ref="J33:J35" si="18">C33-D33-E33</f>
        <v>-5.0931703299283981E-10</v>
      </c>
      <c r="K33" s="53" t="s">
        <v>223</v>
      </c>
      <c r="L33" s="120">
        <f>1065472.5562529*('2023 IR Data Book'!$A$5)</f>
        <v>290113.967285547</v>
      </c>
      <c r="M33" s="120">
        <f>274871.806204384*('2023 IR Data Book'!$A$5)</f>
        <v>74843.92697391058</v>
      </c>
      <c r="N33" s="120">
        <f>94045.7817679466*('2023 IR Data Book'!$A$5)</f>
        <v>25607.412124366005</v>
      </c>
      <c r="O33" s="120">
        <f>32143.5876797614*('2023 IR Data Book'!$A$5)</f>
        <v>8752.2702390027225</v>
      </c>
      <c r="P33" s="120">
        <f>SUM(L33:O33)</f>
        <v>399317.57662282634</v>
      </c>
    </row>
    <row r="34" spans="2:18" x14ac:dyDescent="0.2">
      <c r="B34" s="54" t="s">
        <v>177</v>
      </c>
      <c r="C34" s="121">
        <f>'Aramex Courier'!E10</f>
        <v>87713.988392019586</v>
      </c>
      <c r="D34" s="121">
        <f>'Aramex Express'!E10</f>
        <v>53047.345390897186</v>
      </c>
      <c r="E34" s="121">
        <f>'Aramex Domestic'!E10</f>
        <v>34665.662593441972</v>
      </c>
      <c r="F34" s="121">
        <f>'Aramex Freight'!E9</f>
        <v>10404.268778629601</v>
      </c>
      <c r="G34" s="121">
        <f>'Aramex Logistics'!E9</f>
        <v>3721.5625675601477</v>
      </c>
      <c r="H34" s="121">
        <f>-17937.2596997755*('2023 IR Data Book'!$A$5)</f>
        <v>-4884.0765941772852</v>
      </c>
      <c r="I34" s="121">
        <f>C34+F34+G34+H34</f>
        <v>96955.743144032051</v>
      </c>
      <c r="J34" s="83">
        <f t="shared" si="18"/>
        <v>0.98040768042847048</v>
      </c>
      <c r="K34" s="54" t="s">
        <v>177</v>
      </c>
      <c r="L34" s="121">
        <f>343301*('2023 IR Data Book'!$A$5)</f>
        <v>93476.283831617926</v>
      </c>
      <c r="M34" s="121">
        <f>33865*('2023 IR Data Book'!$A$5)</f>
        <v>9220.9878560148118</v>
      </c>
      <c r="N34" s="121">
        <f>11665*('2023 IR Data Book'!$A$5)</f>
        <v>3176.2239285519795</v>
      </c>
      <c r="O34" s="121">
        <f>19225*('2023 IR Data Book'!$A$5)</f>
        <v>5234.7111038501334</v>
      </c>
      <c r="P34" s="121">
        <f>SUM(L34:O34)</f>
        <v>111108.20672003484</v>
      </c>
    </row>
    <row r="35" spans="2:18" x14ac:dyDescent="0.2">
      <c r="B35" s="55" t="s">
        <v>178</v>
      </c>
      <c r="C35" s="157">
        <f>C34/C33</f>
        <v>0.30116193569238031</v>
      </c>
      <c r="D35" s="157">
        <f t="shared" ref="D35:E35" si="19">D34/D33</f>
        <v>0.31996895322086566</v>
      </c>
      <c r="E35" s="157">
        <f t="shared" si="19"/>
        <v>0.27630216792256279</v>
      </c>
      <c r="F35" s="157">
        <f t="shared" ref="F35:I35" si="20">F34/F33</f>
        <v>0.12015950566001295</v>
      </c>
      <c r="G35" s="157">
        <f t="shared" si="20"/>
        <v>0.12603448202415751</v>
      </c>
      <c r="H35" s="157">
        <f t="shared" si="20"/>
        <v>0.51703468216347592</v>
      </c>
      <c r="I35" s="158">
        <f t="shared" si="20"/>
        <v>0.24365584315562294</v>
      </c>
      <c r="J35" s="83">
        <f t="shared" si="18"/>
        <v>-0.29510918545104814</v>
      </c>
      <c r="K35" s="55" t="s">
        <v>178</v>
      </c>
      <c r="L35" s="157">
        <f>L34/L33</f>
        <v>0.32220538951029937</v>
      </c>
      <c r="M35" s="157">
        <f t="shared" ref="M35:P35" si="21">M34/M33</f>
        <v>0.12320288671155782</v>
      </c>
      <c r="N35" s="157">
        <f t="shared" si="21"/>
        <v>0.12403533450104995</v>
      </c>
      <c r="O35" s="157">
        <f t="shared" si="21"/>
        <v>0.59809751766149788</v>
      </c>
      <c r="P35" s="158">
        <f t="shared" si="21"/>
        <v>0.27824521940586056</v>
      </c>
    </row>
    <row r="36" spans="2:18" x14ac:dyDescent="0.2">
      <c r="B36" s="55" t="s">
        <v>224</v>
      </c>
      <c r="C36" s="121">
        <f>'Aramex Courier'!E13</f>
        <v>11551.334738508222</v>
      </c>
      <c r="D36" s="121"/>
      <c r="E36" s="121"/>
      <c r="F36" s="121">
        <f>'Aramex Freight'!E12</f>
        <v>1535.7160650360372</v>
      </c>
      <c r="G36" s="121">
        <f>'Aramex Logistics'!E12</f>
        <v>1583.7290523495126</v>
      </c>
      <c r="H36" s="121">
        <f>14139.974323889*('2023 IR Data Book'!$A$5)</f>
        <v>3850.1264292024721</v>
      </c>
      <c r="I36" s="121">
        <f>C36+F36+G36+H36</f>
        <v>18520.906285096244</v>
      </c>
      <c r="J36" s="83"/>
      <c r="K36" s="55" t="s">
        <v>224</v>
      </c>
      <c r="L36" s="121">
        <f>135940*('2023 IR Data Book'!$A$5)</f>
        <v>37014.649022490878</v>
      </c>
      <c r="M36" s="121">
        <f>3055*('2023 IR Data Book'!$A$5)</f>
        <v>831.83575668463754</v>
      </c>
      <c r="N36" s="121">
        <f>-53234*('2023 IR Data Book'!$A$5)</f>
        <v>-14494.908239394434</v>
      </c>
      <c r="O36" s="121">
        <f>-1607*('2023 IR Data Book'!$A$5)</f>
        <v>-437.56466808255732</v>
      </c>
      <c r="P36" s="121">
        <f>SUM(L36:O36)</f>
        <v>22914.011871698527</v>
      </c>
    </row>
    <row r="37" spans="2:18" x14ac:dyDescent="0.2">
      <c r="B37" s="55" t="s">
        <v>181</v>
      </c>
      <c r="C37" s="157">
        <f>C36/C33</f>
        <v>3.9660975329634911E-2</v>
      </c>
      <c r="D37" s="157"/>
      <c r="E37" s="157"/>
      <c r="F37" s="157">
        <f t="shared" ref="F37:I37" si="22">F36/F33</f>
        <v>1.7736074214835501E-2</v>
      </c>
      <c r="G37" s="157">
        <f t="shared" si="22"/>
        <v>5.3634586858589649E-2</v>
      </c>
      <c r="H37" s="157">
        <f t="shared" si="22"/>
        <v>-0.40757937682327033</v>
      </c>
      <c r="I37" s="158">
        <f t="shared" si="22"/>
        <v>4.6544195223149863E-2</v>
      </c>
      <c r="J37" s="83"/>
      <c r="K37" s="55" t="s">
        <v>181</v>
      </c>
      <c r="L37" s="157">
        <f>L36/L33</f>
        <v>0.12758658043533255</v>
      </c>
      <c r="M37" s="157">
        <f t="shared" ref="M37:P37" si="23">M36/M33</f>
        <v>1.1114271929833431E-2</v>
      </c>
      <c r="N37" s="157">
        <f t="shared" si="23"/>
        <v>-0.56604346308005937</v>
      </c>
      <c r="O37" s="157">
        <f t="shared" si="23"/>
        <v>-4.9994419291652908E-2</v>
      </c>
      <c r="P37" s="158">
        <f t="shared" si="23"/>
        <v>5.7382928308567435E-2</v>
      </c>
    </row>
    <row r="38" spans="2:18" x14ac:dyDescent="0.2">
      <c r="B38" s="55" t="s">
        <v>182</v>
      </c>
      <c r="C38" s="156">
        <f>'Aramex Courier'!E15</f>
        <v>30869.822139541466</v>
      </c>
      <c r="D38" s="156"/>
      <c r="E38" s="156"/>
      <c r="F38" s="156">
        <f>'Aramex Freight'!E14</f>
        <v>3353.7117493265259</v>
      </c>
      <c r="G38" s="156">
        <f>'Aramex Logistics'!E14</f>
        <v>7874.2526350672279</v>
      </c>
      <c r="H38" s="156">
        <f>8523.57514388524*('2023 IR Data Book'!$A$5)</f>
        <v>2320.8558361610958</v>
      </c>
      <c r="I38" s="121">
        <f>C38+F38+G38+H38</f>
        <v>44418.642360096317</v>
      </c>
      <c r="J38" s="83"/>
      <c r="K38" s="55" t="s">
        <v>182</v>
      </c>
      <c r="L38" s="156">
        <f>190817.974518227*('2023 IR Data Book'!$A$5)</f>
        <v>51957.189598166697</v>
      </c>
      <c r="M38" s="156">
        <f>8915.85774876994*('2023 IR Data Book'!$A$5)</f>
        <v>2427.6691577547076</v>
      </c>
      <c r="N38" s="156">
        <f>-32546.2048357356*('2023 IR Data Book'!$A$5)</f>
        <v>-8861.8975210302233</v>
      </c>
      <c r="O38" s="156">
        <f>2291.72712826686*('2023 IR Data Book'!$A$5)</f>
        <v>624.0067331772749</v>
      </c>
      <c r="P38" s="121">
        <f>SUM(L38:O38)</f>
        <v>46146.967968068457</v>
      </c>
    </row>
    <row r="39" spans="2:18" x14ac:dyDescent="0.2">
      <c r="B39" s="122" t="s">
        <v>183</v>
      </c>
      <c r="C39" s="159">
        <f>C38/C33</f>
        <v>0.10599011127476732</v>
      </c>
      <c r="D39" s="159"/>
      <c r="E39" s="159"/>
      <c r="F39" s="159">
        <f t="shared" ref="F39:I39" si="24">F38/F33</f>
        <v>3.873221218130922E-2</v>
      </c>
      <c r="G39" s="159">
        <f t="shared" si="24"/>
        <v>0.26666953307161234</v>
      </c>
      <c r="H39" s="159">
        <f t="shared" si="24"/>
        <v>-0.24568880861274292</v>
      </c>
      <c r="I39" s="159">
        <f t="shared" si="24"/>
        <v>0.11162682482872105</v>
      </c>
      <c r="J39" s="83"/>
      <c r="K39" s="122" t="s">
        <v>183</v>
      </c>
      <c r="L39" s="159">
        <f>L38/L33</f>
        <v>0.17909234113856853</v>
      </c>
      <c r="M39" s="159">
        <f t="shared" ref="M39:P39" si="25">M38/M33</f>
        <v>3.2436421442730484E-2</v>
      </c>
      <c r="N39" s="159">
        <f t="shared" si="25"/>
        <v>-0.34606767282813156</v>
      </c>
      <c r="O39" s="159">
        <f t="shared" si="25"/>
        <v>7.129655690891662E-2</v>
      </c>
      <c r="P39" s="159">
        <f t="shared" si="25"/>
        <v>0.11556457984732381</v>
      </c>
    </row>
    <row r="42" spans="2:18" x14ac:dyDescent="0.2">
      <c r="B42" s="119"/>
      <c r="C42" s="242" t="s">
        <v>23</v>
      </c>
      <c r="D42" s="242"/>
      <c r="E42" s="242"/>
      <c r="F42" s="242"/>
      <c r="G42" s="242"/>
      <c r="H42" s="242"/>
      <c r="I42" s="242"/>
      <c r="K42" s="119"/>
      <c r="L42" s="242" t="s">
        <v>227</v>
      </c>
      <c r="M42" s="242"/>
      <c r="N42" s="242"/>
      <c r="O42" s="242"/>
      <c r="P42" s="242"/>
    </row>
    <row r="43" spans="2:18" x14ac:dyDescent="0.2">
      <c r="B43" s="119"/>
      <c r="C43" s="130" t="s">
        <v>219</v>
      </c>
      <c r="D43" s="130" t="s">
        <v>269</v>
      </c>
      <c r="E43" s="130" t="s">
        <v>206</v>
      </c>
      <c r="F43" s="130" t="s">
        <v>220</v>
      </c>
      <c r="G43" s="130" t="s">
        <v>221</v>
      </c>
      <c r="H43" s="130" t="s">
        <v>222</v>
      </c>
      <c r="I43" s="130" t="s">
        <v>215</v>
      </c>
      <c r="K43" s="119"/>
      <c r="L43" s="130" t="s">
        <v>219</v>
      </c>
      <c r="M43" s="130" t="s">
        <v>220</v>
      </c>
      <c r="N43" s="130" t="s">
        <v>221</v>
      </c>
      <c r="O43" s="130" t="s">
        <v>222</v>
      </c>
      <c r="P43" s="130" t="s">
        <v>215</v>
      </c>
    </row>
    <row r="44" spans="2:18" x14ac:dyDescent="0.2">
      <c r="B44" s="53" t="s">
        <v>223</v>
      </c>
      <c r="C44" s="120">
        <f>'Aramex Courier'!F7</f>
        <v>298740.34110140498</v>
      </c>
      <c r="D44" s="120">
        <f>'Aramex Express'!F7</f>
        <v>183302.44483557099</v>
      </c>
      <c r="E44" s="120">
        <f>'Aramex Domestic'!F7</f>
        <v>115437.89626583483</v>
      </c>
      <c r="F44" s="120">
        <f>'Aramex Freight'!F7</f>
        <v>106375.87104304251</v>
      </c>
      <c r="G44" s="120">
        <f>'Aramex Logistics'!F7</f>
        <v>30772.860588623316</v>
      </c>
      <c r="H44" s="120">
        <f>10698.3087688035*('2023 IR Data Book'!$A$5)</f>
        <v>2913.0067986721938</v>
      </c>
      <c r="I44" s="121">
        <f>C44+F44+G44+H44</f>
        <v>438802.07953174302</v>
      </c>
      <c r="J44" s="83">
        <f t="shared" ref="J44:J46" si="26">C44-D44-E44</f>
        <v>-8.440110832452774E-10</v>
      </c>
      <c r="K44" s="53" t="s">
        <v>223</v>
      </c>
      <c r="L44" s="120">
        <f>1183088.24381891*('2023 IR Data Book'!$A$5)</f>
        <v>322139.1504163018</v>
      </c>
      <c r="M44" s="120">
        <f>279847.239544934*('2023 IR Data Book'!$A$5)</f>
        <v>76198.671117174206</v>
      </c>
      <c r="N44" s="120">
        <f>100758.250635899*('2023 IR Data Book'!$A$5)</f>
        <v>27435.127875591952</v>
      </c>
      <c r="O44" s="120">
        <f>34652.0164646013*('2023 IR Data Book'!$A$5)</f>
        <v>9435.2819432013548</v>
      </c>
      <c r="P44" s="120">
        <f>SUM(L44:O44)</f>
        <v>435208.23135226936</v>
      </c>
      <c r="R44" s="28"/>
    </row>
    <row r="45" spans="2:18" x14ac:dyDescent="0.2">
      <c r="B45" s="54" t="s">
        <v>177</v>
      </c>
      <c r="C45" s="121">
        <f>'Aramex Courier'!F10</f>
        <v>73379.523091181967</v>
      </c>
      <c r="D45" s="121">
        <f>'Aramex Express'!F10</f>
        <v>50247.341362648003</v>
      </c>
      <c r="E45" s="121">
        <f>'Aramex Domestic'!F10</f>
        <v>23133.144362153791</v>
      </c>
      <c r="F45" s="121">
        <f>'Aramex Freight'!F9</f>
        <v>12219.779379998901</v>
      </c>
      <c r="G45" s="121">
        <f>'Aramex Logistics'!F9</f>
        <v>1051.796095762129</v>
      </c>
      <c r="H45" s="121">
        <f>9242.01243149337*('2023 IR Data Book'!$A$5)</f>
        <v>2516.4767280655037</v>
      </c>
      <c r="I45" s="121">
        <f>C45+F45+G45+H45</f>
        <v>89167.575295008501</v>
      </c>
      <c r="J45" s="83">
        <f t="shared" si="26"/>
        <v>-0.96263361982710194</v>
      </c>
      <c r="K45" s="54" t="s">
        <v>177</v>
      </c>
      <c r="L45" s="121">
        <f>354414*('2023 IR Data Book'!$A$5)</f>
        <v>96502.205521973534</v>
      </c>
      <c r="M45" s="121">
        <f>18812*('2023 IR Data Book'!$A$5)</f>
        <v>5122.2567118662528</v>
      </c>
      <c r="N45" s="121">
        <f>9009.99999999999*('2023 IR Data Book'!$A$5)</f>
        <v>2453.3028372270301</v>
      </c>
      <c r="O45" s="121">
        <f>24736*('2023 IR Data Book'!$A$5)</f>
        <v>6735.2829058432717</v>
      </c>
      <c r="P45" s="121">
        <f>SUM(L45:O45)</f>
        <v>110813.04797691009</v>
      </c>
      <c r="R45" s="28"/>
    </row>
    <row r="46" spans="2:18" x14ac:dyDescent="0.2">
      <c r="B46" s="55" t="s">
        <v>178</v>
      </c>
      <c r="C46" s="157">
        <f>C45/C44</f>
        <v>0.24562977608127551</v>
      </c>
      <c r="D46" s="157">
        <f t="shared" ref="D46:E46" si="27">D45/D44</f>
        <v>0.27412259235124609</v>
      </c>
      <c r="E46" s="157">
        <f t="shared" si="27"/>
        <v>0.20039471534444717</v>
      </c>
      <c r="F46" s="157">
        <f t="shared" ref="F46:I46" si="28">F45/F44</f>
        <v>0.11487360112947469</v>
      </c>
      <c r="G46" s="157">
        <f t="shared" si="28"/>
        <v>3.4179341005138031E-2</v>
      </c>
      <c r="H46" s="157">
        <f t="shared" si="28"/>
        <v>0.86387602295077504</v>
      </c>
      <c r="I46" s="158">
        <f t="shared" si="28"/>
        <v>0.20320682023695402</v>
      </c>
      <c r="J46" s="83">
        <f t="shared" si="26"/>
        <v>-0.22888753161441774</v>
      </c>
      <c r="K46" s="55" t="s">
        <v>178</v>
      </c>
      <c r="L46" s="157">
        <f t="shared" ref="L46" si="29">L45/L44</f>
        <v>0.29956683438589604</v>
      </c>
      <c r="M46" s="157">
        <f t="shared" ref="M46" si="30">M45/M44</f>
        <v>6.7222389009770567E-2</v>
      </c>
      <c r="N46" s="157">
        <f t="shared" ref="N46" si="31">N45/N44</f>
        <v>8.9421957439084709E-2</v>
      </c>
      <c r="O46" s="157">
        <f t="shared" ref="O46" si="32">O45/O44</f>
        <v>0.71384013179345607</v>
      </c>
      <c r="P46" s="158">
        <f t="shared" ref="P46" si="33">P45/P44</f>
        <v>0.25462075391495753</v>
      </c>
    </row>
    <row r="47" spans="2:18" x14ac:dyDescent="0.2">
      <c r="B47" s="55" t="s">
        <v>224</v>
      </c>
      <c r="C47" s="121">
        <f>'Aramex Courier'!F13</f>
        <v>10178.069397707917</v>
      </c>
      <c r="D47" s="121"/>
      <c r="E47" s="121"/>
      <c r="F47" s="121">
        <f>'Aramex Freight'!F12</f>
        <v>1126.3981689681777</v>
      </c>
      <c r="G47" s="121">
        <f>'Aramex Logistics'!F12</f>
        <v>4318.1274651349449</v>
      </c>
      <c r="H47" s="121">
        <f>1272.02172689161*('2023 IR Data Book'!$A$5)</f>
        <v>346.35455178663886</v>
      </c>
      <c r="I47" s="121">
        <f>C47+F47+G47+H47</f>
        <v>15968.94958359768</v>
      </c>
      <c r="K47" s="55" t="s">
        <v>224</v>
      </c>
      <c r="L47" s="121">
        <f>127651*('2023 IR Data Book'!$A$5)</f>
        <v>34757.664869574684</v>
      </c>
      <c r="M47" s="121">
        <f>-13506*('2023 IR Data Book'!$A$5)</f>
        <v>-3677.5036758699557</v>
      </c>
      <c r="N47" s="121">
        <f>-39394*('2023 IR Data Book'!$A$5)</f>
        <v>-10726.460817949137</v>
      </c>
      <c r="O47" s="121">
        <f>14414*('2023 IR Data Book'!$A$5)</f>
        <v>3924.7399662364537</v>
      </c>
      <c r="P47" s="121">
        <f>SUM(L47:O47)</f>
        <v>24278.440341992045</v>
      </c>
      <c r="R47" s="28"/>
    </row>
    <row r="48" spans="2:18" x14ac:dyDescent="0.2">
      <c r="B48" s="55" t="s">
        <v>181</v>
      </c>
      <c r="C48" s="157">
        <f>C47/C44</f>
        <v>3.4069953057505063E-2</v>
      </c>
      <c r="D48" s="157"/>
      <c r="E48" s="157"/>
      <c r="F48" s="157">
        <f t="shared" ref="F48:I48" si="34">F47/F44</f>
        <v>1.0588850252633016E-2</v>
      </c>
      <c r="G48" s="157">
        <f t="shared" si="34"/>
        <v>0.14032258888311966</v>
      </c>
      <c r="H48" s="157">
        <f t="shared" si="34"/>
        <v>0.11889932833130157</v>
      </c>
      <c r="I48" s="158">
        <f t="shared" si="34"/>
        <v>3.6392146547342158E-2</v>
      </c>
      <c r="K48" s="55" t="s">
        <v>181</v>
      </c>
      <c r="L48" s="157">
        <f>L47/L44</f>
        <v>0.10789643178935937</v>
      </c>
      <c r="M48" s="157">
        <f t="shared" ref="M48:P48" si="35">M47/M44</f>
        <v>-4.8262044756855263E-2</v>
      </c>
      <c r="N48" s="157">
        <f t="shared" si="35"/>
        <v>-0.39097542634354127</v>
      </c>
      <c r="O48" s="157">
        <f t="shared" si="35"/>
        <v>0.41596424885474109</v>
      </c>
      <c r="P48" s="158">
        <f t="shared" si="35"/>
        <v>5.5785802273441876E-2</v>
      </c>
    </row>
    <row r="49" spans="2:18" x14ac:dyDescent="0.2">
      <c r="B49" s="55" t="s">
        <v>182</v>
      </c>
      <c r="C49" s="156">
        <f>'Aramex Courier'!F15</f>
        <v>26555.424372156322</v>
      </c>
      <c r="D49" s="156"/>
      <c r="E49" s="156"/>
      <c r="F49" s="156">
        <f>'Aramex Freight'!F14</f>
        <v>3126.469187774383</v>
      </c>
      <c r="G49" s="156">
        <f>'Aramex Logistics'!F14</f>
        <v>10401.732400954201</v>
      </c>
      <c r="H49" s="156">
        <f>2438.17697022321*('2023 IR Data Book'!$A$5)</f>
        <v>663.88307199891358</v>
      </c>
      <c r="I49" s="121">
        <f>C49+F49+G49+H49</f>
        <v>40747.50903288382</v>
      </c>
      <c r="K49" s="55" t="s">
        <v>182</v>
      </c>
      <c r="L49" s="156">
        <f>185007.379428629*('2023 IR Data Book'!$A$5)</f>
        <v>50375.042048856121</v>
      </c>
      <c r="M49" s="156">
        <f>1935.44186111497*('2023 IR Data Book'!$A$5)</f>
        <v>526.99500656618466</v>
      </c>
      <c r="N49" s="156">
        <f>-18868.2903895795*('2023 IR Data Book'!$A$5)</f>
        <v>-5137.5838342262969</v>
      </c>
      <c r="O49" s="156">
        <f>11528.0646359834*('2023 IR Data Book'!$A$5)</f>
        <v>3138.9382551825411</v>
      </c>
      <c r="P49" s="121">
        <f>SUM(L49:O49)</f>
        <v>48903.391476378551</v>
      </c>
      <c r="R49" s="28"/>
    </row>
    <row r="50" spans="2:18" x14ac:dyDescent="0.2">
      <c r="B50" s="122" t="s">
        <v>183</v>
      </c>
      <c r="C50" s="159">
        <f>C49/C44</f>
        <v>8.8891323730337105E-2</v>
      </c>
      <c r="D50" s="159"/>
      <c r="E50" s="159"/>
      <c r="F50" s="159">
        <f t="shared" ref="F50:I50" si="36">F49/F44</f>
        <v>2.9390774027216477E-2</v>
      </c>
      <c r="G50" s="159">
        <f t="shared" si="36"/>
        <v>0.33801642752704331</v>
      </c>
      <c r="H50" s="159">
        <f t="shared" si="36"/>
        <v>0.22790302868552337</v>
      </c>
      <c r="I50" s="159">
        <f t="shared" si="36"/>
        <v>9.2860792903184358E-2</v>
      </c>
      <c r="K50" s="122" t="s">
        <v>183</v>
      </c>
      <c r="L50" s="159">
        <f t="shared" ref="L50:P50" si="37">L49/L44</f>
        <v>0.15637665270972573</v>
      </c>
      <c r="M50" s="159">
        <f t="shared" si="37"/>
        <v>6.9160655801437819E-3</v>
      </c>
      <c r="N50" s="159">
        <f t="shared" si="37"/>
        <v>-0.18726298115041851</v>
      </c>
      <c r="O50" s="159">
        <f t="shared" si="37"/>
        <v>0.33268091765337449</v>
      </c>
      <c r="P50" s="159">
        <f t="shared" si="37"/>
        <v>0.1123677999481467</v>
      </c>
    </row>
    <row r="53" spans="2:18" x14ac:dyDescent="0.2">
      <c r="B53" s="119"/>
      <c r="C53" s="242" t="s">
        <v>25</v>
      </c>
      <c r="D53" s="242"/>
      <c r="E53" s="242"/>
      <c r="F53" s="242"/>
      <c r="G53" s="242"/>
      <c r="H53" s="242"/>
      <c r="I53" s="242"/>
    </row>
    <row r="54" spans="2:18" x14ac:dyDescent="0.2">
      <c r="B54" s="119"/>
      <c r="C54" s="130" t="s">
        <v>219</v>
      </c>
      <c r="D54" s="130" t="s">
        <v>269</v>
      </c>
      <c r="E54" s="130" t="s">
        <v>206</v>
      </c>
      <c r="F54" s="130" t="s">
        <v>220</v>
      </c>
      <c r="G54" s="130" t="s">
        <v>221</v>
      </c>
      <c r="H54" s="130" t="s">
        <v>222</v>
      </c>
      <c r="I54" s="130" t="s">
        <v>215</v>
      </c>
      <c r="K54" s="28"/>
    </row>
    <row r="55" spans="2:18" x14ac:dyDescent="0.2">
      <c r="B55" s="53" t="s">
        <v>223</v>
      </c>
      <c r="C55" s="120">
        <f>'Aramex Courier'!H7</f>
        <v>254756.00010891465</v>
      </c>
      <c r="D55" s="120">
        <f>'Aramex Express'!H7</f>
        <v>152201.99999999997</v>
      </c>
      <c r="E55" s="120">
        <f>'Aramex Domestic'!H7</f>
        <v>102554.20752683167</v>
      </c>
      <c r="F55" s="120">
        <f>'Aramex Freight'!H7</f>
        <v>106500.2088246335</v>
      </c>
      <c r="G55" s="120">
        <f>'Aramex Logistics'!H7</f>
        <v>30524.76710459511</v>
      </c>
      <c r="H55" s="120">
        <f>10076.8732277094*('2023 IR Data Book'!$A$5)</f>
        <v>2743.7981886699886</v>
      </c>
      <c r="I55" s="120">
        <f>C55+F55+G55+H55</f>
        <v>394524.77422681329</v>
      </c>
      <c r="J55" s="210">
        <f>C55-D55-E55</f>
        <v>-0.20741791698674206</v>
      </c>
      <c r="K55" s="28"/>
    </row>
    <row r="56" spans="2:18" x14ac:dyDescent="0.2">
      <c r="B56" s="54" t="s">
        <v>177</v>
      </c>
      <c r="C56" s="121">
        <f>'Aramex Courier'!H10</f>
        <v>73666.756382887863</v>
      </c>
      <c r="D56" s="121">
        <f>'Aramex Express'!H10</f>
        <v>48407.881802437754</v>
      </c>
      <c r="E56" s="121">
        <f>'Aramex Domestic'!H10</f>
        <v>25259.08199836711</v>
      </c>
      <c r="F56" s="121">
        <f>'Aramex Freight'!H9</f>
        <v>14173.410931479622</v>
      </c>
      <c r="G56" s="121">
        <f>'Aramex Logistics'!H9</f>
        <v>3586.3676409036379</v>
      </c>
      <c r="H56" s="121">
        <f>8326.98518949769*('2023 IR Data Book'!$A$5)</f>
        <v>2267.3270134231034</v>
      </c>
      <c r="I56" s="121">
        <f>C56+F56+G56+H56</f>
        <v>93693.861968694226</v>
      </c>
      <c r="J56" s="210">
        <f t="shared" ref="J56:J57" si="38">C56-D56-E56</f>
        <v>-0.20741791700129397</v>
      </c>
    </row>
    <row r="57" spans="2:18" x14ac:dyDescent="0.2">
      <c r="B57" s="55" t="s">
        <v>178</v>
      </c>
      <c r="C57" s="157">
        <f>C56/C55</f>
        <v>0.28916593270185376</v>
      </c>
      <c r="D57" s="157">
        <f t="shared" ref="D57:E57" si="39">D56/D55</f>
        <v>0.31805023457272419</v>
      </c>
      <c r="E57" s="157">
        <f t="shared" si="39"/>
        <v>0.24629981165578677</v>
      </c>
      <c r="F57" s="157">
        <f t="shared" ref="F57:I57" si="40">F56/F55</f>
        <v>0.13308340976887653</v>
      </c>
      <c r="G57" s="157">
        <f t="shared" si="40"/>
        <v>0.11749041781759431</v>
      </c>
      <c r="H57" s="157">
        <f t="shared" si="40"/>
        <v>0.82634612953154296</v>
      </c>
      <c r="I57" s="158">
        <f t="shared" si="40"/>
        <v>0.23748536996774094</v>
      </c>
      <c r="J57" s="210">
        <f t="shared" si="38"/>
        <v>-0.27518411352665717</v>
      </c>
    </row>
    <row r="58" spans="2:18" x14ac:dyDescent="0.2">
      <c r="B58" s="55" t="s">
        <v>224</v>
      </c>
      <c r="C58" s="121">
        <f>'Aramex Courier'!H13</f>
        <v>13947.030447567116</v>
      </c>
      <c r="D58" s="121"/>
      <c r="E58" s="121"/>
      <c r="F58" s="121">
        <f>'Aramex Freight'!H12</f>
        <v>4022.4764291354622</v>
      </c>
      <c r="G58" s="121">
        <f>'Aramex Logistics'!H12</f>
        <v>1577.1532746531939</v>
      </c>
      <c r="H58" s="121">
        <f>3217.0725461928*('2023 IR Data Book'!$A$5)</f>
        <v>875.96594951609211</v>
      </c>
      <c r="I58" s="121">
        <f>C58+F58+G58+H58</f>
        <v>20422.626100871868</v>
      </c>
      <c r="J58" s="210"/>
    </row>
    <row r="59" spans="2:18" x14ac:dyDescent="0.2">
      <c r="B59" s="55" t="s">
        <v>181</v>
      </c>
      <c r="C59" s="157">
        <f>C58/C55</f>
        <v>5.4746622028939089E-2</v>
      </c>
      <c r="D59" s="157"/>
      <c r="E59" s="157"/>
      <c r="F59" s="157">
        <f t="shared" ref="F59:I59" si="41">F58/F55</f>
        <v>3.7769657670427621E-2</v>
      </c>
      <c r="G59" s="157">
        <f t="shared" si="41"/>
        <v>5.1667987154462969E-2</v>
      </c>
      <c r="H59" s="157">
        <f t="shared" si="41"/>
        <v>0.31925305335255078</v>
      </c>
      <c r="I59" s="158">
        <f t="shared" si="41"/>
        <v>5.1765129682656758E-2</v>
      </c>
      <c r="J59" s="210"/>
    </row>
    <row r="60" spans="2:18" x14ac:dyDescent="0.2">
      <c r="B60" s="55" t="s">
        <v>182</v>
      </c>
      <c r="C60" s="156">
        <f>'Aramex Courier'!H15</f>
        <v>30968.436576628548</v>
      </c>
      <c r="D60" s="156"/>
      <c r="E60" s="156"/>
      <c r="F60" s="156">
        <f>'Aramex Freight'!H14</f>
        <v>5897.496353595001</v>
      </c>
      <c r="G60" s="156">
        <f>'Aramex Logistics'!H14</f>
        <v>7831.5098127559768</v>
      </c>
      <c r="H60" s="156">
        <f>4514.08635286607*('2023 IR Data Book'!$A$5)</f>
        <v>1229.1255113178865</v>
      </c>
      <c r="I60" s="121">
        <f>C60+F60+G60+H60</f>
        <v>45926.56825429741</v>
      </c>
      <c r="J60" s="210"/>
    </row>
    <row r="61" spans="2:18" x14ac:dyDescent="0.2">
      <c r="B61" s="122" t="s">
        <v>183</v>
      </c>
      <c r="C61" s="159">
        <f>C60/C55</f>
        <v>0.12156116661978032</v>
      </c>
      <c r="D61" s="159"/>
      <c r="E61" s="159"/>
      <c r="F61" s="159">
        <f t="shared" ref="F61:I61" si="42">F60/F55</f>
        <v>5.537544403603939E-2</v>
      </c>
      <c r="G61" s="159">
        <f t="shared" si="42"/>
        <v>0.25656247551114136</v>
      </c>
      <c r="H61" s="159">
        <f t="shared" si="42"/>
        <v>0.44796498386555356</v>
      </c>
      <c r="I61" s="159">
        <f t="shared" si="42"/>
        <v>0.11640984610992797</v>
      </c>
      <c r="J61" s="210"/>
    </row>
    <row r="65" spans="2:12" x14ac:dyDescent="0.2">
      <c r="B65" s="119"/>
      <c r="C65" s="242" t="s">
        <v>26</v>
      </c>
      <c r="D65" s="242"/>
      <c r="E65" s="242"/>
      <c r="F65" s="242"/>
      <c r="G65" s="242"/>
      <c r="H65" s="242"/>
      <c r="I65" s="242"/>
    </row>
    <row r="66" spans="2:12" x14ac:dyDescent="0.2">
      <c r="B66" s="119"/>
      <c r="C66" s="130" t="s">
        <v>219</v>
      </c>
      <c r="D66" s="130" t="s">
        <v>269</v>
      </c>
      <c r="E66" s="130" t="s">
        <v>206</v>
      </c>
      <c r="F66" s="130" t="s">
        <v>220</v>
      </c>
      <c r="G66" s="130" t="s">
        <v>221</v>
      </c>
      <c r="H66" s="130" t="s">
        <v>222</v>
      </c>
      <c r="I66" s="130" t="s">
        <v>215</v>
      </c>
      <c r="L66" s="28"/>
    </row>
    <row r="67" spans="2:12" x14ac:dyDescent="0.2">
      <c r="B67" s="53" t="s">
        <v>223</v>
      </c>
      <c r="C67" s="120">
        <f>'Aramex Courier'!I7</f>
        <v>261647.41023439431</v>
      </c>
      <c r="D67" s="120">
        <f>'Aramex Express'!I7</f>
        <v>160222.25547525755</v>
      </c>
      <c r="E67" s="120">
        <f>'Aramex Domestic'!I7</f>
        <v>101425.15475913658</v>
      </c>
      <c r="F67" s="120">
        <f>'Aramex Freight'!I7</f>
        <v>117739.49237633981</v>
      </c>
      <c r="G67" s="120">
        <f>'Aramex Logistics'!I7</f>
        <v>30429.710337881879</v>
      </c>
      <c r="H67" s="120">
        <f>11496.2580635688*('2023 IR Data Book'!$A$5)</f>
        <v>3130.2777497056031</v>
      </c>
      <c r="I67" s="120">
        <f>C67+F67+G67+H67</f>
        <v>412946.89069832157</v>
      </c>
      <c r="J67" s="210">
        <f>C67-D67-E67</f>
        <v>1.7462298274040222E-10</v>
      </c>
    </row>
    <row r="68" spans="2:12" x14ac:dyDescent="0.2">
      <c r="B68" s="54" t="s">
        <v>177</v>
      </c>
      <c r="C68" s="121">
        <f>'Aramex Courier'!I10</f>
        <v>76986.030846258596</v>
      </c>
      <c r="D68" s="121">
        <f>'Aramex Express'!I10</f>
        <v>51654.978987421695</v>
      </c>
      <c r="E68" s="121">
        <f>'Aramex Domestic'!I10</f>
        <v>25331.051858836523</v>
      </c>
      <c r="F68" s="121">
        <f>'Aramex Freight'!I9</f>
        <v>15765.569633008199</v>
      </c>
      <c r="G68" s="121">
        <f>'Aramex Logistics'!I9</f>
        <v>7745.068542489571</v>
      </c>
      <c r="H68" s="121">
        <f>9538.70904976758*('2023 IR Data Book'!$A$5)</f>
        <v>2597.2632602972226</v>
      </c>
      <c r="I68" s="121">
        <f>C68+F68+G68+H68</f>
        <v>103093.93228205357</v>
      </c>
      <c r="J68" s="210">
        <f t="shared" ref="J68:J69" si="43">C68-D68-E68</f>
        <v>3.7834979593753815E-10</v>
      </c>
    </row>
    <row r="69" spans="2:12" x14ac:dyDescent="0.2">
      <c r="B69" s="55" t="s">
        <v>178</v>
      </c>
      <c r="C69" s="157">
        <f>C68/C67</f>
        <v>0.29423578386383187</v>
      </c>
      <c r="D69" s="157">
        <f t="shared" ref="D69:E69" si="44">D68/D67</f>
        <v>0.32239577975107558</v>
      </c>
      <c r="E69" s="157">
        <f t="shared" si="44"/>
        <v>0.24975117779206199</v>
      </c>
      <c r="F69" s="157">
        <f t="shared" ref="F69" si="45">F68/F67</f>
        <v>0.13390213695346584</v>
      </c>
      <c r="G69" s="157">
        <f t="shared" ref="G69" si="46">G68/G67</f>
        <v>0.25452324246569485</v>
      </c>
      <c r="H69" s="157">
        <f t="shared" ref="H69:I69" si="47">H68/H67</f>
        <v>0.8297229408928618</v>
      </c>
      <c r="I69" s="158">
        <f t="shared" si="47"/>
        <v>0.24965421608506277</v>
      </c>
      <c r="J69" s="210">
        <f t="shared" si="43"/>
        <v>-0.27791117367930573</v>
      </c>
    </row>
    <row r="70" spans="2:12" x14ac:dyDescent="0.2">
      <c r="B70" s="55" t="s">
        <v>224</v>
      </c>
      <c r="C70" s="121">
        <f>'Aramex Courier'!I13</f>
        <v>11060.689035005473</v>
      </c>
      <c r="D70" s="121"/>
      <c r="E70" s="121"/>
      <c r="F70" s="121">
        <f>'Aramex Freight'!I12</f>
        <v>4679.7257794804118</v>
      </c>
      <c r="G70" s="121">
        <f>'Aramex Logistics'!I12</f>
        <v>1410.4022335018676</v>
      </c>
      <c r="H70" s="121">
        <f>585.358921985922*('2023 IR Data Book'!$A$5)</f>
        <v>159.38542775851496</v>
      </c>
      <c r="I70" s="121">
        <f>C70+F70+G70+H70</f>
        <v>17310.202475746268</v>
      </c>
      <c r="J70" s="210"/>
    </row>
    <row r="71" spans="2:12" x14ac:dyDescent="0.2">
      <c r="B71" s="55" t="s">
        <v>181</v>
      </c>
      <c r="C71" s="157">
        <f>C70/C67</f>
        <v>4.2273260129335355E-2</v>
      </c>
      <c r="D71" s="157"/>
      <c r="E71" s="157"/>
      <c r="F71" s="157">
        <f t="shared" ref="F71" si="48">F70/F67</f>
        <v>3.9746440935232198E-2</v>
      </c>
      <c r="G71" s="157">
        <f t="shared" ref="G71" si="49">G70/G67</f>
        <v>4.634951229706781E-2</v>
      </c>
      <c r="H71" s="157">
        <f t="shared" ref="H71:I71" si="50">H70/H67</f>
        <v>5.0917343604255205E-2</v>
      </c>
      <c r="I71" s="158">
        <f t="shared" si="50"/>
        <v>4.191871367883053E-2</v>
      </c>
      <c r="J71" s="210"/>
    </row>
    <row r="72" spans="2:12" x14ac:dyDescent="0.2">
      <c r="B72" s="55" t="s">
        <v>182</v>
      </c>
      <c r="C72" s="156">
        <f>'Aramex Courier'!I15</f>
        <v>27790.90124183107</v>
      </c>
      <c r="D72" s="156"/>
      <c r="E72" s="156"/>
      <c r="F72" s="156">
        <f>'Aramex Freight'!I14</f>
        <v>6730.2665151346437</v>
      </c>
      <c r="G72" s="156">
        <f>'Aramex Logistics'!I14</f>
        <v>7345.0522191845284</v>
      </c>
      <c r="H72" s="156">
        <f>1777.07850807516*('2023 IR Data Book'!$A$5)</f>
        <v>483.87477756226104</v>
      </c>
      <c r="I72" s="121">
        <f>C72+F72+G72+H72</f>
        <v>42350.094753712503</v>
      </c>
      <c r="J72" s="210"/>
    </row>
    <row r="73" spans="2:12" x14ac:dyDescent="0.2">
      <c r="B73" s="122" t="s">
        <v>183</v>
      </c>
      <c r="C73" s="159">
        <f>C72/C67</f>
        <v>0.10621508241543404</v>
      </c>
      <c r="D73" s="159"/>
      <c r="E73" s="159"/>
      <c r="F73" s="159">
        <f t="shared" ref="F73" si="51">F72/F67</f>
        <v>5.7162353763358979E-2</v>
      </c>
      <c r="G73" s="159">
        <f t="shared" ref="G73" si="52">G72/G67</f>
        <v>0.24137765813829287</v>
      </c>
      <c r="H73" s="159">
        <f t="shared" ref="H73:I73" si="53">H72/H67</f>
        <v>0.15457886368318868</v>
      </c>
      <c r="I73" s="159">
        <f t="shared" si="53"/>
        <v>0.10255579036349101</v>
      </c>
      <c r="J73" s="210"/>
    </row>
    <row r="77" spans="2:12" x14ac:dyDescent="0.2">
      <c r="B77" s="119"/>
      <c r="C77" s="242" t="s">
        <v>260</v>
      </c>
      <c r="D77" s="242"/>
      <c r="E77" s="242"/>
      <c r="F77" s="242"/>
      <c r="G77" s="242"/>
      <c r="H77" s="242"/>
      <c r="I77" s="242"/>
    </row>
    <row r="78" spans="2:12" x14ac:dyDescent="0.2">
      <c r="B78" s="119"/>
      <c r="C78" s="130" t="s">
        <v>219</v>
      </c>
      <c r="D78" s="130" t="s">
        <v>269</v>
      </c>
      <c r="E78" s="130" t="s">
        <v>206</v>
      </c>
      <c r="F78" s="130" t="s">
        <v>220</v>
      </c>
      <c r="G78" s="130" t="s">
        <v>221</v>
      </c>
      <c r="H78" s="130" t="s">
        <v>222</v>
      </c>
      <c r="I78" s="130" t="s">
        <v>215</v>
      </c>
    </row>
    <row r="79" spans="2:12" x14ac:dyDescent="0.2">
      <c r="B79" s="53" t="s">
        <v>223</v>
      </c>
      <c r="C79" s="120">
        <f>'Aramex Courier'!J7</f>
        <v>235186.8434006428</v>
      </c>
      <c r="D79" s="120">
        <f>'Aramex Express'!J7</f>
        <v>134489.68551409029</v>
      </c>
      <c r="E79" s="120">
        <f>'Aramex Domestic'!J7</f>
        <v>100696.95046863565</v>
      </c>
      <c r="F79" s="120">
        <f>'Aramex Freight'!J7</f>
        <v>119678.13903452294</v>
      </c>
      <c r="G79" s="120">
        <f>'Aramex Logistics'!J7</f>
        <v>30080.736786024889</v>
      </c>
      <c r="H79" s="120">
        <f>(-36789.3525840966+49288.2873002326)*(('2023 IR Data Book'!$A$5))</f>
        <v>3403.2932299014315</v>
      </c>
      <c r="I79" s="120">
        <f>C79+F79+G79+H79</f>
        <v>388349.01245109201</v>
      </c>
      <c r="J79" s="210">
        <f>C79-D79-E79</f>
        <v>0.20741791685577482</v>
      </c>
      <c r="K79" s="28"/>
    </row>
    <row r="80" spans="2:12" x14ac:dyDescent="0.2">
      <c r="B80" s="54" t="s">
        <v>177</v>
      </c>
      <c r="C80" s="121">
        <f>'Aramex Courier'!J10</f>
        <v>65550.871338614874</v>
      </c>
      <c r="D80" s="121">
        <f>'Aramex Express'!J10</f>
        <v>41343.722303339033</v>
      </c>
      <c r="E80" s="121">
        <f>'Aramex Domestic'!J10</f>
        <v>24206.944837359159</v>
      </c>
      <c r="F80" s="121">
        <f>'Aramex Freight'!J9</f>
        <v>16550.216060702165</v>
      </c>
      <c r="G80" s="121">
        <f>'Aramex Logistics'!J9</f>
        <v>2370.7371807549607</v>
      </c>
      <c r="H80" s="121">
        <f>(-18434.7593072861--29030.7812005074)*(('2023 IR Data Book'!$A$5))</f>
        <v>2885.1554466103858</v>
      </c>
      <c r="I80" s="121">
        <f>C80+F80+G80+H80</f>
        <v>87356.980026682388</v>
      </c>
      <c r="J80" s="210">
        <f t="shared" ref="J80:J81" si="54">C80-D80-E80</f>
        <v>0.20419791668246035</v>
      </c>
      <c r="K80" s="28"/>
    </row>
    <row r="81" spans="2:17" x14ac:dyDescent="0.2">
      <c r="B81" s="55" t="s">
        <v>178</v>
      </c>
      <c r="C81" s="157">
        <f>C80/C79</f>
        <v>0.27871827518407738</v>
      </c>
      <c r="D81" s="157">
        <f t="shared" ref="D81:E81" si="55">D80/D79</f>
        <v>0.30741184459835408</v>
      </c>
      <c r="E81" s="157">
        <f t="shared" si="55"/>
        <v>0.24039402111684563</v>
      </c>
      <c r="F81" s="157">
        <f t="shared" ref="F81:I81" si="56">F80/F79</f>
        <v>0.13828938345981473</v>
      </c>
      <c r="G81" s="157">
        <f t="shared" si="56"/>
        <v>7.8812470506253479E-2</v>
      </c>
      <c r="H81" s="157">
        <f t="shared" si="56"/>
        <v>0.84775399935019635</v>
      </c>
      <c r="I81" s="158">
        <f t="shared" si="56"/>
        <v>0.22494451440811625</v>
      </c>
      <c r="J81" s="210">
        <f t="shared" si="54"/>
        <v>-0.2690875905311223</v>
      </c>
      <c r="K81" s="28"/>
    </row>
    <row r="82" spans="2:17" x14ac:dyDescent="0.2">
      <c r="B82" s="55" t="s">
        <v>224</v>
      </c>
      <c r="C82" s="121">
        <f>'Aramex Courier'!J13</f>
        <v>5679.6618844387722</v>
      </c>
      <c r="D82" s="121"/>
      <c r="E82" s="121"/>
      <c r="F82" s="121">
        <f>'Aramex Freight'!J12</f>
        <v>6417.0752914594959</v>
      </c>
      <c r="G82" s="121">
        <f>'Aramex Logistics'!J12</f>
        <v>-1664.9203265532815</v>
      </c>
      <c r="H82" s="121">
        <f>(13315.9612230839-723.780866769583)*(('2023 IR Data Book'!$A$5))</f>
        <v>3428.6827741421107</v>
      </c>
      <c r="I82" s="121">
        <f>C82+F82+G82+H82</f>
        <v>13860.499623487098</v>
      </c>
      <c r="J82" s="210"/>
      <c r="K82" s="28"/>
      <c r="L82" s="83"/>
    </row>
    <row r="83" spans="2:17" x14ac:dyDescent="0.2">
      <c r="B83" s="55" t="s">
        <v>181</v>
      </c>
      <c r="C83" s="157">
        <f>C82/C79</f>
        <v>2.4149573174735033E-2</v>
      </c>
      <c r="D83" s="157"/>
      <c r="E83" s="157"/>
      <c r="F83" s="157">
        <f t="shared" ref="F83:I83" si="57">F82/F79</f>
        <v>5.3619444146005606E-2</v>
      </c>
      <c r="G83" s="157">
        <f t="shared" si="57"/>
        <v>-5.5348389183298909E-2</v>
      </c>
      <c r="H83" s="157">
        <f t="shared" si="57"/>
        <v>1.0074602870001343</v>
      </c>
      <c r="I83" s="158">
        <f t="shared" si="57"/>
        <v>3.5690832676528728E-2</v>
      </c>
      <c r="J83" s="210"/>
      <c r="K83" s="28"/>
      <c r="L83" s="83"/>
    </row>
    <row r="84" spans="2:17" x14ac:dyDescent="0.2">
      <c r="B84" s="55" t="s">
        <v>182</v>
      </c>
      <c r="C84" s="156">
        <f>'Aramex Courier'!J15</f>
        <v>22882.887992027227</v>
      </c>
      <c r="D84" s="156"/>
      <c r="E84" s="156"/>
      <c r="F84" s="156">
        <f>'Aramex Freight'!J14</f>
        <v>8521.1249021683379</v>
      </c>
      <c r="G84" s="156">
        <f>'Aramex Logistics'!J14</f>
        <v>4105.4983943098587</v>
      </c>
      <c r="H84" s="156">
        <f>(5420.97088348717--5521.02950752155)*(('2023 IR Data Book'!$A$5))</f>
        <v>2979.360777380798</v>
      </c>
      <c r="I84" s="121">
        <f>C84+F84+G84+H84</f>
        <v>38488.872065886215</v>
      </c>
      <c r="J84" s="210"/>
      <c r="K84" s="28"/>
      <c r="L84" s="83"/>
    </row>
    <row r="85" spans="2:17" x14ac:dyDescent="0.2">
      <c r="B85" s="122" t="s">
        <v>183</v>
      </c>
      <c r="C85" s="159">
        <f>C84/C79</f>
        <v>9.7296633013803549E-2</v>
      </c>
      <c r="D85" s="159"/>
      <c r="E85" s="159"/>
      <c r="F85" s="159">
        <f t="shared" ref="F85:I85" si="58">F84/F79</f>
        <v>7.1200345952156657E-2</v>
      </c>
      <c r="G85" s="159">
        <f t="shared" si="58"/>
        <v>0.1364826408180673</v>
      </c>
      <c r="H85" s="159">
        <f t="shared" si="58"/>
        <v>0.87543463819222189</v>
      </c>
      <c r="I85" s="159">
        <f t="shared" si="58"/>
        <v>9.9108973711458673E-2</v>
      </c>
      <c r="J85" s="210"/>
      <c r="K85" s="28"/>
    </row>
    <row r="87" spans="2:17" x14ac:dyDescent="0.2">
      <c r="C87" s="83"/>
      <c r="D87" s="83"/>
      <c r="E87" s="83"/>
      <c r="F87" s="83"/>
      <c r="G87" s="83"/>
      <c r="H87" s="83"/>
    </row>
    <row r="88" spans="2:17" x14ac:dyDescent="0.2">
      <c r="C88" s="83"/>
      <c r="D88" s="83"/>
      <c r="E88" s="83"/>
      <c r="F88" s="83"/>
      <c r="G88" s="83"/>
      <c r="H88" s="83"/>
    </row>
    <row r="89" spans="2:17" x14ac:dyDescent="0.2">
      <c r="B89" s="119"/>
      <c r="C89" s="242" t="s">
        <v>274</v>
      </c>
      <c r="D89" s="242"/>
      <c r="E89" s="242"/>
      <c r="F89" s="242"/>
      <c r="G89" s="242"/>
      <c r="H89" s="242"/>
      <c r="I89" s="242"/>
    </row>
    <row r="90" spans="2:17" x14ac:dyDescent="0.2">
      <c r="B90" s="119"/>
      <c r="C90" s="130" t="s">
        <v>219</v>
      </c>
      <c r="D90" s="130" t="s">
        <v>269</v>
      </c>
      <c r="E90" s="130" t="s">
        <v>206</v>
      </c>
      <c r="F90" s="130" t="s">
        <v>220</v>
      </c>
      <c r="G90" s="130" t="s">
        <v>221</v>
      </c>
      <c r="H90" s="130" t="s">
        <v>222</v>
      </c>
      <c r="I90" s="130" t="s">
        <v>215</v>
      </c>
    </row>
    <row r="91" spans="2:17" x14ac:dyDescent="0.2">
      <c r="B91" s="53" t="s">
        <v>223</v>
      </c>
      <c r="C91" s="120">
        <f>'Aramex Courier'!K7</f>
        <v>269506.69826681534</v>
      </c>
      <c r="D91" s="120">
        <f>'Aramex Express'!K7</f>
        <v>165427.47030159368</v>
      </c>
      <c r="E91" s="120">
        <f>'Aramex Domestic'!K7</f>
        <v>104079.22796522164</v>
      </c>
      <c r="F91" s="120">
        <f>'Aramex Freight'!K7</f>
        <v>114715.16216186162</v>
      </c>
      <c r="G91" s="120">
        <f>'Aramex Logistics'!K7</f>
        <v>30212.502956374774</v>
      </c>
      <c r="H91" s="120">
        <f>12182.2109990966*(('2023 IR Data Book'!$A$5))</f>
        <v>3317.0535857693731</v>
      </c>
      <c r="I91" s="120">
        <f>C91+F91+G91+H91</f>
        <v>417751.4169708211</v>
      </c>
      <c r="J91" s="210">
        <f>C91-D91-E91</f>
        <v>0</v>
      </c>
      <c r="K91" s="28"/>
      <c r="L91" s="28"/>
      <c r="M91" s="28"/>
      <c r="N91" s="28"/>
      <c r="O91" s="28"/>
      <c r="P91" s="28"/>
      <c r="Q91" s="28"/>
    </row>
    <row r="92" spans="2:17" x14ac:dyDescent="0.2">
      <c r="B92" s="54" t="s">
        <v>177</v>
      </c>
      <c r="C92" s="121">
        <f>'Aramex Courier'!K10</f>
        <v>79396.454456292529</v>
      </c>
      <c r="D92" s="121">
        <f>'Aramex Express'!K10</f>
        <v>52823.372902745468</v>
      </c>
      <c r="E92" s="121">
        <f>'Aramex Domestic'!K10</f>
        <v>26573.081553547076</v>
      </c>
      <c r="F92" s="121">
        <f>'Aramex Freight'!K9</f>
        <v>16871.10952902821</v>
      </c>
      <c r="G92" s="121">
        <f>'Aramex Logistics'!K9</f>
        <v>4546.1470622617235</v>
      </c>
      <c r="H92" s="121">
        <f>10505.6098040025*(('2023 IR Data Book'!$A$5))</f>
        <v>2860.5374405060447</v>
      </c>
      <c r="I92" s="121">
        <f>C92+F92+G92+H92</f>
        <v>103674.2484880885</v>
      </c>
      <c r="J92" s="210">
        <f t="shared" ref="J92:J93" si="59">C92-D92-E92</f>
        <v>0</v>
      </c>
      <c r="K92" s="28"/>
      <c r="L92" s="28"/>
      <c r="M92" s="28"/>
      <c r="N92" s="28"/>
      <c r="O92" s="28"/>
      <c r="P92" s="28"/>
      <c r="Q92" s="28"/>
    </row>
    <row r="93" spans="2:17" x14ac:dyDescent="0.2">
      <c r="B93" s="55" t="s">
        <v>178</v>
      </c>
      <c r="C93" s="157">
        <f>C92/C91</f>
        <v>0.29459918794926926</v>
      </c>
      <c r="D93" s="157">
        <f t="shared" ref="D93:I93" si="60">D92/D91</f>
        <v>0.31931439685586838</v>
      </c>
      <c r="E93" s="157">
        <f t="shared" si="60"/>
        <v>0.25531589802363391</v>
      </c>
      <c r="F93" s="157">
        <f t="shared" si="60"/>
        <v>0.14706956962867115</v>
      </c>
      <c r="G93" s="157">
        <f t="shared" si="60"/>
        <v>0.15047237459359508</v>
      </c>
      <c r="H93" s="157">
        <f t="shared" si="60"/>
        <v>0.8623729965587994</v>
      </c>
      <c r="I93" s="158">
        <f t="shared" si="60"/>
        <v>0.24817210493227337</v>
      </c>
      <c r="J93" s="210">
        <f t="shared" si="59"/>
        <v>-0.28003110693023303</v>
      </c>
    </row>
    <row r="94" spans="2:17" x14ac:dyDescent="0.2">
      <c r="B94" s="55" t="s">
        <v>224</v>
      </c>
      <c r="C94" s="121">
        <f>'Aramex Courier'!K13</f>
        <v>8632.9177334035012</v>
      </c>
      <c r="D94" s="121"/>
      <c r="E94" s="121"/>
      <c r="F94" s="121">
        <f>'Aramex Freight'!K12</f>
        <v>4448.8632648344219</v>
      </c>
      <c r="G94" s="121">
        <f>'Aramex Logistics'!K12</f>
        <v>645.44825456374497</v>
      </c>
      <c r="H94" s="121">
        <f>(5434.96031399955)*(('2023 IR Data Book'!$A$5))</f>
        <v>1479.8672096061507</v>
      </c>
      <c r="I94" s="121">
        <f>C94+F94+G94+H94</f>
        <v>15207.096462407819</v>
      </c>
      <c r="K94" s="28"/>
      <c r="L94" s="28"/>
      <c r="M94" s="28"/>
      <c r="N94" s="28"/>
      <c r="O94" s="28"/>
      <c r="P94" s="28"/>
      <c r="Q94" s="28"/>
    </row>
    <row r="95" spans="2:17" x14ac:dyDescent="0.2">
      <c r="B95" s="55" t="s">
        <v>181</v>
      </c>
      <c r="C95" s="157">
        <f>C94/C91</f>
        <v>3.2032293775707175E-2</v>
      </c>
      <c r="D95" s="157"/>
      <c r="E95" s="157"/>
      <c r="F95" s="157">
        <f t="shared" ref="F95:I95" si="61">F94/F91</f>
        <v>3.8781824311568625E-2</v>
      </c>
      <c r="G95" s="157">
        <f t="shared" si="61"/>
        <v>2.1363614113525699E-2</v>
      </c>
      <c r="H95" s="157">
        <f t="shared" si="61"/>
        <v>0.44613907232460442</v>
      </c>
      <c r="I95" s="158">
        <f t="shared" si="61"/>
        <v>3.6402261834745604E-2</v>
      </c>
    </row>
    <row r="96" spans="2:17" x14ac:dyDescent="0.2">
      <c r="B96" s="55" t="s">
        <v>182</v>
      </c>
      <c r="C96" s="156">
        <f>'Aramex Courier'!K15</f>
        <v>25757.19813417859</v>
      </c>
      <c r="D96" s="156"/>
      <c r="E96" s="156"/>
      <c r="F96" s="156">
        <f>'Aramex Freight'!K14</f>
        <v>6384.4188685878125</v>
      </c>
      <c r="G96" s="156">
        <f>'Aramex Logistics'!K14</f>
        <v>6641.6317632049222</v>
      </c>
      <c r="H96" s="156">
        <f>(6010.4246353474)*(('2023 IR Data Book'!$A$5))</f>
        <v>1636.5584695712573</v>
      </c>
      <c r="I96" s="121">
        <f>C96+F96+G96+H96</f>
        <v>40419.80723554259</v>
      </c>
      <c r="K96" s="28"/>
      <c r="L96" s="28"/>
      <c r="M96" s="28"/>
      <c r="N96" s="28"/>
      <c r="O96" s="28"/>
      <c r="P96" s="28"/>
      <c r="Q96" s="28"/>
    </row>
    <row r="97" spans="2:11" x14ac:dyDescent="0.2">
      <c r="B97" s="122" t="s">
        <v>183</v>
      </c>
      <c r="C97" s="159">
        <f>C96/C91</f>
        <v>9.5571643672761747E-2</v>
      </c>
      <c r="D97" s="159"/>
      <c r="E97" s="159"/>
      <c r="F97" s="159">
        <f t="shared" ref="F97:I97" si="62">F96/F91</f>
        <v>5.5654533788475839E-2</v>
      </c>
      <c r="G97" s="159">
        <f t="shared" si="62"/>
        <v>0.21983057056858482</v>
      </c>
      <c r="H97" s="159">
        <f t="shared" si="62"/>
        <v>0.49337715754497413</v>
      </c>
      <c r="I97" s="159">
        <f t="shared" si="62"/>
        <v>9.6755643651989853E-2</v>
      </c>
    </row>
    <row r="101" spans="2:11" x14ac:dyDescent="0.2">
      <c r="B101" s="119"/>
      <c r="C101" s="242" t="s">
        <v>281</v>
      </c>
      <c r="D101" s="242"/>
      <c r="E101" s="242"/>
      <c r="F101" s="242"/>
      <c r="G101" s="242"/>
      <c r="H101" s="242"/>
      <c r="I101" s="242"/>
    </row>
    <row r="102" spans="2:11" x14ac:dyDescent="0.2">
      <c r="B102" s="119"/>
      <c r="C102" s="130" t="s">
        <v>219</v>
      </c>
      <c r="D102" s="130" t="s">
        <v>269</v>
      </c>
      <c r="E102" s="130" t="s">
        <v>206</v>
      </c>
      <c r="F102" s="130" t="s">
        <v>220</v>
      </c>
      <c r="G102" s="130" t="s">
        <v>221</v>
      </c>
      <c r="H102" s="130" t="s">
        <v>222</v>
      </c>
      <c r="I102" s="130" t="s">
        <v>215</v>
      </c>
    </row>
    <row r="103" spans="2:11" x14ac:dyDescent="0.2">
      <c r="B103" s="53" t="s">
        <v>223</v>
      </c>
      <c r="C103" s="120">
        <f>'Aramex Courier'!$M$7</f>
        <v>252745.49928826661</v>
      </c>
      <c r="D103" s="120">
        <f>'Aramex Express'!M7</f>
        <v>154272.42826484697</v>
      </c>
      <c r="E103" s="120">
        <f>'Aramex Domestic'!$M$7</f>
        <v>98473.071023419645</v>
      </c>
      <c r="F103" s="120">
        <f>'Aramex Freight'!M7</f>
        <v>104948.10197270407</v>
      </c>
      <c r="G103" s="120">
        <f>'Aramex Logistics'!$M$7</f>
        <v>29146.626250633337</v>
      </c>
      <c r="H103" s="120">
        <f>(2937.12655020684*3.6726)*(('2023 IR Data Book'!$A$5))</f>
        <v>2937.12655020684</v>
      </c>
      <c r="I103" s="120">
        <f>C103+F103+G103+H103</f>
        <v>389777.35406181088</v>
      </c>
      <c r="J103" s="210">
        <f>C103-D103-E103</f>
        <v>0</v>
      </c>
      <c r="K103" s="28">
        <f>I103-'Group Profit &amp; Loss Stm'!M8</f>
        <v>8.455247146775946E-2</v>
      </c>
    </row>
    <row r="104" spans="2:11" x14ac:dyDescent="0.2">
      <c r="B104" s="54" t="s">
        <v>177</v>
      </c>
      <c r="C104" s="121">
        <f>'Aramex Courier'!$M$10</f>
        <v>73907.333756333654</v>
      </c>
      <c r="D104" s="121">
        <f>'Aramex Express'!$M$10</f>
        <v>50045.057552872619</v>
      </c>
      <c r="E104" s="121">
        <f>'Aramex Domestic'!$M$10</f>
        <v>23862.276213461024</v>
      </c>
      <c r="F104" s="121">
        <f>'Aramex Freight'!$M$9</f>
        <v>16650.603981870052</v>
      </c>
      <c r="G104" s="121">
        <f>'Aramex Logistics'!$M$9</f>
        <v>4411.7582863871103</v>
      </c>
      <c r="H104" s="121">
        <f>(2508.90493270667*3.6726)*(('2023 IR Data Book'!$A$5))</f>
        <v>2508.90493270667</v>
      </c>
      <c r="I104" s="121">
        <f>C104+F104+G104+H104</f>
        <v>97478.600957297487</v>
      </c>
      <c r="J104" s="210">
        <f t="shared" ref="J104:J105" si="63">C104-D104-E104</f>
        <v>-9.9999888334423304E-6</v>
      </c>
      <c r="K104" s="28">
        <f>I104-'Group Profit &amp; Loss Stm'!M10</f>
        <v>-2.4539625679608434E-2</v>
      </c>
    </row>
    <row r="105" spans="2:11" x14ac:dyDescent="0.2">
      <c r="B105" s="55" t="s">
        <v>178</v>
      </c>
      <c r="C105" s="157">
        <f>C104/C103</f>
        <v>0.29241800136681884</v>
      </c>
      <c r="D105" s="157">
        <f t="shared" ref="D105:I105" si="64">D104/D103</f>
        <v>0.32439404834516405</v>
      </c>
      <c r="E105" s="157">
        <f t="shared" si="64"/>
        <v>0.24232286010239193</v>
      </c>
      <c r="F105" s="157">
        <f t="shared" si="64"/>
        <v>0.15865559899502235</v>
      </c>
      <c r="G105" s="157">
        <f t="shared" si="64"/>
        <v>0.15136428650267011</v>
      </c>
      <c r="H105" s="157">
        <f t="shared" si="64"/>
        <v>0.85420389275701669</v>
      </c>
      <c r="I105" s="158">
        <f t="shared" si="64"/>
        <v>0.25008790259743857</v>
      </c>
      <c r="J105" s="210">
        <f t="shared" si="63"/>
        <v>-0.27429890708073712</v>
      </c>
      <c r="K105" s="32"/>
    </row>
    <row r="106" spans="2:11" x14ac:dyDescent="0.2">
      <c r="B106" s="55" t="s">
        <v>224</v>
      </c>
      <c r="C106" s="121">
        <f>'Aramex Courier'!$M$13</f>
        <v>10293.751815302508</v>
      </c>
      <c r="D106" s="121"/>
      <c r="E106" s="121"/>
      <c r="F106" s="121">
        <f>'Aramex Freight'!$M$12</f>
        <v>5588.9915889393069</v>
      </c>
      <c r="G106" s="121">
        <f>'Aramex Logistics'!$M$12</f>
        <v>585.45702294560249</v>
      </c>
      <c r="H106" s="121">
        <f>(685.610760518868*3.6726)*(('2023 IR Data Book'!$A$5))</f>
        <v>685.61076051886789</v>
      </c>
      <c r="I106" s="121">
        <f>C106+F106+G106+H106</f>
        <v>17153.811187706284</v>
      </c>
      <c r="K106" s="28">
        <f>I106-'Group Profit &amp; Loss Stm'!M16</f>
        <v>-0.24860644501677598</v>
      </c>
    </row>
    <row r="107" spans="2:11" x14ac:dyDescent="0.2">
      <c r="B107" s="55" t="s">
        <v>181</v>
      </c>
      <c r="C107" s="157">
        <f>C106/C103</f>
        <v>4.0727735387137642E-2</v>
      </c>
      <c r="D107" s="157"/>
      <c r="E107" s="157"/>
      <c r="F107" s="157">
        <f t="shared" ref="F107:I107" si="65">F106/F103</f>
        <v>5.3254813416186854E-2</v>
      </c>
      <c r="G107" s="157">
        <f t="shared" si="65"/>
        <v>2.0086613727133544E-2</v>
      </c>
      <c r="H107" s="157">
        <f t="shared" si="65"/>
        <v>0.23342908410622806</v>
      </c>
      <c r="I107" s="158">
        <f t="shared" si="65"/>
        <v>4.4009255563333814E-2</v>
      </c>
      <c r="K107" s="32"/>
    </row>
    <row r="108" spans="2:11" x14ac:dyDescent="0.2">
      <c r="B108" s="55" t="s">
        <v>182</v>
      </c>
      <c r="C108" s="156">
        <f>'Aramex Courier'!$M$15</f>
        <v>26533.155718210506</v>
      </c>
      <c r="D108" s="156"/>
      <c r="E108" s="156"/>
      <c r="F108" s="156">
        <f>'Aramex Freight'!$M$14</f>
        <v>7535.8901070194688</v>
      </c>
      <c r="G108" s="156">
        <f>'Aramex Logistics'!$M$14</f>
        <v>6776.8075588260899</v>
      </c>
      <c r="H108" s="156">
        <f>(858.400410326417*3.6726)*(('2023 IR Data Book'!$A$5))</f>
        <v>858.40041032641705</v>
      </c>
      <c r="I108" s="121">
        <f>C108+F108+G108+H108</f>
        <v>41704.253794382479</v>
      </c>
      <c r="K108" s="28"/>
    </row>
    <row r="109" spans="2:11" x14ac:dyDescent="0.2">
      <c r="B109" s="122" t="s">
        <v>183</v>
      </c>
      <c r="C109" s="159">
        <f>C108/C103</f>
        <v>0.1049797357141001</v>
      </c>
      <c r="D109" s="159"/>
      <c r="E109" s="159"/>
      <c r="F109" s="159">
        <f t="shared" ref="F109:I109" si="66">F108/F103</f>
        <v>7.1805873239894111E-2</v>
      </c>
      <c r="G109" s="159">
        <f t="shared" si="66"/>
        <v>0.23250744359062259</v>
      </c>
      <c r="H109" s="159">
        <f t="shared" si="66"/>
        <v>0.29225857165261276</v>
      </c>
      <c r="I109" s="159">
        <f t="shared" si="66"/>
        <v>0.10699506618275473</v>
      </c>
      <c r="K109" s="32"/>
    </row>
    <row r="113" spans="2:11" x14ac:dyDescent="0.2">
      <c r="B113" s="119"/>
      <c r="C113" s="242" t="s">
        <v>297</v>
      </c>
      <c r="D113" s="242"/>
      <c r="E113" s="242"/>
      <c r="F113" s="242"/>
      <c r="G113" s="242"/>
      <c r="H113" s="242"/>
      <c r="I113" s="242"/>
    </row>
    <row r="114" spans="2:11" x14ac:dyDescent="0.2">
      <c r="B114" s="119"/>
      <c r="C114" s="130" t="s">
        <v>219</v>
      </c>
      <c r="D114" s="130" t="s">
        <v>269</v>
      </c>
      <c r="E114" s="130" t="s">
        <v>206</v>
      </c>
      <c r="F114" s="130" t="s">
        <v>220</v>
      </c>
      <c r="G114" s="130" t="s">
        <v>221</v>
      </c>
      <c r="H114" s="130" t="s">
        <v>222</v>
      </c>
      <c r="I114" s="130" t="s">
        <v>215</v>
      </c>
    </row>
    <row r="115" spans="2:11" x14ac:dyDescent="0.2">
      <c r="B115" s="53" t="s">
        <v>223</v>
      </c>
      <c r="C115" s="120">
        <f>'Aramex Courier'!$N$7</f>
        <v>248441.50182747003</v>
      </c>
      <c r="D115" s="120">
        <f>'Aramex Express'!N7</f>
        <v>152764.03205798916</v>
      </c>
      <c r="E115" s="120">
        <f>'Aramex Domestic'!$N$7</f>
        <v>95677.469769481017</v>
      </c>
      <c r="F115" s="120">
        <f>'Aramex Freight'!N7</f>
        <v>97644.565079978056</v>
      </c>
      <c r="G115" s="120">
        <f>'Aramex Logistics'!$N$7</f>
        <v>28921.344230288079</v>
      </c>
      <c r="H115" s="120">
        <f>(11587.0353635627)*(('2023 IR Data Book'!$A$5))</f>
        <v>3154.9951978333329</v>
      </c>
      <c r="I115" s="120">
        <f>C115+F115+G115+H115</f>
        <v>378162.40633556951</v>
      </c>
      <c r="J115" s="210">
        <f>C115-D115-E115</f>
        <v>-1.4551915228366852E-10</v>
      </c>
      <c r="K115" s="28">
        <f>I115-'Group Profit &amp; Loss Stm'!N8</f>
        <v>-1.5209196135401726E-5</v>
      </c>
    </row>
    <row r="116" spans="2:11" x14ac:dyDescent="0.2">
      <c r="B116" s="54" t="s">
        <v>177</v>
      </c>
      <c r="C116" s="121">
        <f>'Aramex Courier'!$N$10</f>
        <v>71588.3282989937</v>
      </c>
      <c r="D116" s="121">
        <f>'Aramex Express'!$N$10</f>
        <v>51278.198735714759</v>
      </c>
      <c r="E116" s="121">
        <f>'Aramex Domestic'!$N$10</f>
        <v>20310.129563279144</v>
      </c>
      <c r="F116" s="121">
        <f>'Aramex Freight'!$N$9</f>
        <v>15411.590172344877</v>
      </c>
      <c r="G116" s="121">
        <f>'Aramex Logistics'!$N$9</f>
        <v>4437.5761445618919</v>
      </c>
      <c r="H116" s="121">
        <f>(9732.6060737382)*(('2023 IR Data Book'!$A$5))</f>
        <v>2650.0588339972223</v>
      </c>
      <c r="I116" s="121">
        <f>C116+F116+G116+H116</f>
        <v>94087.553449897692</v>
      </c>
      <c r="J116" s="210">
        <f t="shared" ref="J116:J117" si="67">C116-D116-E116</f>
        <v>-2.0372681319713593E-10</v>
      </c>
      <c r="K116" s="28">
        <f>I116-'Group Profit &amp; Loss Stm'!N10</f>
        <v>4.9758382374420762E-6</v>
      </c>
    </row>
    <row r="117" spans="2:11" x14ac:dyDescent="0.2">
      <c r="B117" s="55" t="s">
        <v>178</v>
      </c>
      <c r="C117" s="157">
        <f>C116/C115</f>
        <v>0.28814963591996057</v>
      </c>
      <c r="D117" s="157">
        <f t="shared" ref="D117:I117" si="68">D116/D115</f>
        <v>0.33566931983210274</v>
      </c>
      <c r="E117" s="157">
        <f t="shared" si="68"/>
        <v>0.21227703462699243</v>
      </c>
      <c r="F117" s="157">
        <f t="shared" si="68"/>
        <v>0.15783356871651438</v>
      </c>
      <c r="G117" s="157">
        <f t="shared" si="68"/>
        <v>0.15343602666692821</v>
      </c>
      <c r="H117" s="157">
        <f t="shared" si="68"/>
        <v>0.83995653489968181</v>
      </c>
      <c r="I117" s="158">
        <f t="shared" si="68"/>
        <v>0.24880197469022697</v>
      </c>
      <c r="J117" s="210">
        <f t="shared" si="67"/>
        <v>-0.25979671853913461</v>
      </c>
      <c r="K117" s="32"/>
    </row>
    <row r="118" spans="2:11" x14ac:dyDescent="0.2">
      <c r="B118" s="55" t="s">
        <v>224</v>
      </c>
      <c r="C118" s="121">
        <f>'Aramex Courier'!$N$13</f>
        <v>8246.4800563334175</v>
      </c>
      <c r="D118" s="121"/>
      <c r="E118" s="121"/>
      <c r="F118" s="121">
        <f>'Aramex Freight'!$N$12</f>
        <v>4232.3487645177056</v>
      </c>
      <c r="G118" s="121">
        <f>'Aramex Logistics'!$N$12</f>
        <v>376.29503281071993</v>
      </c>
      <c r="H118" s="121">
        <f>(5549.87462995629)*(('2023 IR Data Book'!$A$5))</f>
        <v>1511.1568452748161</v>
      </c>
      <c r="I118" s="121">
        <f>C118+F118+G118+H118</f>
        <v>14366.280698936658</v>
      </c>
      <c r="K118" s="28">
        <f>I118-'Group Profit &amp; Loss Stm'!N16</f>
        <v>1.4565977677193587E-2</v>
      </c>
    </row>
    <row r="119" spans="2:11" x14ac:dyDescent="0.2">
      <c r="B119" s="55" t="s">
        <v>181</v>
      </c>
      <c r="C119" s="157">
        <f>C118/C115</f>
        <v>3.3192844173274151E-2</v>
      </c>
      <c r="D119" s="157"/>
      <c r="E119" s="157"/>
      <c r="F119" s="157">
        <f t="shared" ref="F119:I119" si="69">F118/F115</f>
        <v>4.3344437665845524E-2</v>
      </c>
      <c r="G119" s="157">
        <f t="shared" si="69"/>
        <v>1.3010980050389302E-2</v>
      </c>
      <c r="H119" s="157">
        <f t="shared" si="69"/>
        <v>0.47897278775973751</v>
      </c>
      <c r="I119" s="158">
        <f t="shared" si="69"/>
        <v>3.7989711452672714E-2</v>
      </c>
      <c r="K119" s="32"/>
    </row>
    <row r="120" spans="2:11" x14ac:dyDescent="0.2">
      <c r="B120" s="55" t="s">
        <v>182</v>
      </c>
      <c r="C120" s="156">
        <f>'Aramex Courier'!$N$15</f>
        <v>24927.673499108474</v>
      </c>
      <c r="D120" s="156"/>
      <c r="E120" s="156"/>
      <c r="F120" s="156">
        <f>'Aramex Freight'!$N$14</f>
        <v>6078.669634062052</v>
      </c>
      <c r="G120" s="156">
        <f>'Aramex Logistics'!$N$14</f>
        <v>6472.0055820103462</v>
      </c>
      <c r="H120" s="156">
        <f>(5650.368148585)*(('2023 IR Data Book'!$A$5))</f>
        <v>1538.5198901554757</v>
      </c>
      <c r="I120" s="121">
        <f>C120+F120+G120+H120</f>
        <v>39016.868605336349</v>
      </c>
      <c r="K120" s="28"/>
    </row>
    <row r="121" spans="2:11" x14ac:dyDescent="0.2">
      <c r="B121" s="122" t="s">
        <v>183</v>
      </c>
      <c r="C121" s="159">
        <f>C120/C115</f>
        <v>0.10033618906562349</v>
      </c>
      <c r="D121" s="159"/>
      <c r="E121" s="159"/>
      <c r="F121" s="159">
        <f t="shared" ref="F121:I121" si="70">F120/F115</f>
        <v>6.2253025850268019E-2</v>
      </c>
      <c r="G121" s="159">
        <f t="shared" si="70"/>
        <v>0.22377955638840927</v>
      </c>
      <c r="H121" s="159">
        <f t="shared" si="70"/>
        <v>0.48764571534436618</v>
      </c>
      <c r="I121" s="159">
        <f t="shared" si="70"/>
        <v>0.10317490039111396</v>
      </c>
      <c r="K121" s="32"/>
    </row>
  </sheetData>
  <mergeCells count="14">
    <mergeCell ref="C113:I113"/>
    <mergeCell ref="C101:I101"/>
    <mergeCell ref="C89:I89"/>
    <mergeCell ref="C5:I5"/>
    <mergeCell ref="L5:P5"/>
    <mergeCell ref="C18:I18"/>
    <mergeCell ref="L18:P18"/>
    <mergeCell ref="C31:I31"/>
    <mergeCell ref="L31:P31"/>
    <mergeCell ref="C77:I77"/>
    <mergeCell ref="C53:I53"/>
    <mergeCell ref="C65:I65"/>
    <mergeCell ref="C42:I42"/>
    <mergeCell ref="L42:P42"/>
  </mergeCells>
  <pageMargins left="0.7" right="0.7" top="0.75" bottom="0.75" header="0.3" footer="0.3"/>
  <pageSetup paperSize="9" orientation="portrait" r:id="rId1"/>
  <ignoredErrors>
    <ignoredError sqref="I9 P9:P11 P22:P24 P35:P37 P46:P48 I11 I81 I83 I93 I69 I57 I46 I35 I22 I95 I48 I37 I24 I59 I71 I105 I107 I117 I11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1EF8-9002-483C-8197-1A5536EBCB44}">
  <dimension ref="A1:N42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26" sqref="K26"/>
    </sheetView>
  </sheetViews>
  <sheetFormatPr defaultColWidth="9.140625" defaultRowHeight="12.75" x14ac:dyDescent="0.2"/>
  <cols>
    <col min="1" max="1" width="5.42578125" style="1" customWidth="1"/>
    <col min="2" max="2" width="47.28515625" style="1" customWidth="1"/>
    <col min="3" max="5" width="10" style="1" bestFit="1" customWidth="1"/>
    <col min="6" max="7" width="12" style="1" customWidth="1"/>
    <col min="8" max="8" width="8.7109375" style="1" customWidth="1"/>
    <col min="9" max="9" width="39" style="1" bestFit="1" customWidth="1"/>
    <col min="10" max="10" width="9" style="1" bestFit="1" customWidth="1"/>
    <col min="11" max="11" width="9.5703125" style="1" bestFit="1" customWidth="1"/>
    <col min="12" max="12" width="10.140625" style="1" customWidth="1"/>
    <col min="13" max="13" width="9.140625" style="1"/>
    <col min="14" max="14" width="12" style="1" bestFit="1" customWidth="1"/>
    <col min="15" max="16384" width="9.140625" style="1"/>
  </cols>
  <sheetData>
    <row r="1" spans="1:14" x14ac:dyDescent="0.2">
      <c r="A1" s="161">
        <f>'2023 IR Data Book'!$A$5</f>
        <v>0.27228666339922669</v>
      </c>
      <c r="C1" s="2"/>
      <c r="D1" s="2"/>
      <c r="E1" s="2"/>
      <c r="F1" s="2"/>
      <c r="G1" s="2"/>
    </row>
    <row r="2" spans="1:14" x14ac:dyDescent="0.2">
      <c r="B2" s="3" t="s">
        <v>286</v>
      </c>
      <c r="C2" s="4"/>
      <c r="D2" s="4"/>
      <c r="E2" s="4"/>
      <c r="F2" s="4"/>
      <c r="G2" s="4"/>
    </row>
    <row r="4" spans="1:14" ht="25.5" x14ac:dyDescent="0.2">
      <c r="B4" s="87" t="s">
        <v>223</v>
      </c>
      <c r="C4" s="88" t="s">
        <v>228</v>
      </c>
      <c r="D4" s="88" t="s">
        <v>229</v>
      </c>
      <c r="E4" s="88" t="s">
        <v>230</v>
      </c>
      <c r="F4" s="88" t="s">
        <v>231</v>
      </c>
      <c r="G4" s="89" t="s">
        <v>232</v>
      </c>
      <c r="I4" s="90" t="s">
        <v>233</v>
      </c>
      <c r="J4" s="91" t="s">
        <v>228</v>
      </c>
      <c r="K4" s="91" t="s">
        <v>229</v>
      </c>
      <c r="L4" s="91" t="s">
        <v>230</v>
      </c>
      <c r="M4" s="91" t="s">
        <v>231</v>
      </c>
      <c r="N4" s="92" t="s">
        <v>232</v>
      </c>
    </row>
    <row r="5" spans="1:14" x14ac:dyDescent="0.2">
      <c r="B5" s="15" t="s">
        <v>234</v>
      </c>
      <c r="C5" s="5">
        <f>C6+C7</f>
        <v>208514.35850873168</v>
      </c>
      <c r="D5" s="5">
        <f t="shared" ref="D5:F5" si="0">D6+D7</f>
        <v>214993.44944855961</v>
      </c>
      <c r="E5" s="5">
        <f t="shared" si="0"/>
        <v>216983.71576588138</v>
      </c>
      <c r="F5" s="5">
        <f t="shared" si="0"/>
        <v>264591.36631009064</v>
      </c>
      <c r="G5" s="7">
        <f>SUM(C5:F5)</f>
        <v>905082.89003326325</v>
      </c>
      <c r="I5" s="93" t="s">
        <v>235</v>
      </c>
      <c r="J5" s="94">
        <v>20</v>
      </c>
      <c r="K5" s="94">
        <v>20</v>
      </c>
      <c r="L5" s="94">
        <v>22</v>
      </c>
      <c r="M5" s="95">
        <v>25</v>
      </c>
      <c r="N5" s="96">
        <v>88</v>
      </c>
    </row>
    <row r="6" spans="1:14" x14ac:dyDescent="0.2">
      <c r="B6" s="17" t="s">
        <v>236</v>
      </c>
      <c r="C6" s="8">
        <f>500411.542893547*('2023 IR Data Book'!$A$5)</f>
        <v>136255.38934094293</v>
      </c>
      <c r="D6" s="8">
        <f>527816.532850836*('2023 IR Data Book'!$A$5)</f>
        <v>143717.40261690249</v>
      </c>
      <c r="E6" s="8">
        <f>542630.923505683*('2023 IR Data Book'!$A$5)</f>
        <v>147751.16361860343</v>
      </c>
      <c r="F6" s="9">
        <f>701828.936519285*('2023 IR Data Book'!$A$5)</f>
        <v>191098.65940186378</v>
      </c>
      <c r="G6" s="10">
        <f>SUM(C6:F6)</f>
        <v>618822.61497831263</v>
      </c>
      <c r="I6" s="97" t="s">
        <v>237</v>
      </c>
      <c r="J6" s="98">
        <v>5</v>
      </c>
      <c r="K6" s="98">
        <v>5</v>
      </c>
      <c r="L6" s="98">
        <v>5</v>
      </c>
      <c r="M6" s="99">
        <v>6</v>
      </c>
      <c r="N6" s="100">
        <v>21</v>
      </c>
    </row>
    <row r="7" spans="1:14" x14ac:dyDescent="0.2">
      <c r="B7" s="18" t="s">
        <v>238</v>
      </c>
      <c r="C7" s="5">
        <f>265378.290165621*('2023 IR Data Book'!$A$5)</f>
        <v>72258.969167788746</v>
      </c>
      <c r="D7" s="5">
        <f>261768.409593944*('2023 IR Data Book'!$A$5)</f>
        <v>71276.046831657135</v>
      </c>
      <c r="E7" s="5">
        <f>254263.471016093*('2023 IR Data Book'!$A$5)</f>
        <v>69232.552147277951</v>
      </c>
      <c r="F7" s="6">
        <f>269909.315391154*('2023 IR Data Book'!$A$5)</f>
        <v>73492.706908226872</v>
      </c>
      <c r="G7" s="11">
        <f t="shared" ref="G7" si="1">SUM(C7:F7)</f>
        <v>286260.27505495067</v>
      </c>
      <c r="I7" s="101" t="s">
        <v>239</v>
      </c>
      <c r="J7" s="102">
        <v>15</v>
      </c>
      <c r="K7" s="102">
        <v>15</v>
      </c>
      <c r="L7" s="102">
        <v>17</v>
      </c>
      <c r="M7" s="103">
        <v>19</v>
      </c>
      <c r="N7" s="104">
        <v>67</v>
      </c>
    </row>
    <row r="8" spans="1:14" x14ac:dyDescent="0.2">
      <c r="B8" s="16"/>
      <c r="C8" s="12"/>
      <c r="D8" s="12"/>
      <c r="E8" s="12"/>
      <c r="F8" s="12"/>
      <c r="G8" s="12"/>
      <c r="I8" s="16"/>
      <c r="J8" s="12"/>
      <c r="K8" s="12"/>
      <c r="L8" s="12"/>
      <c r="M8" s="12"/>
      <c r="N8" s="12"/>
    </row>
    <row r="9" spans="1:14" ht="25.5" x14ac:dyDescent="0.2">
      <c r="B9" s="87" t="s">
        <v>223</v>
      </c>
      <c r="C9" s="88" t="s">
        <v>240</v>
      </c>
      <c r="D9" s="88" t="s">
        <v>241</v>
      </c>
      <c r="E9" s="88" t="s">
        <v>242</v>
      </c>
      <c r="F9" s="88" t="s">
        <v>243</v>
      </c>
      <c r="G9" s="88" t="s">
        <v>244</v>
      </c>
      <c r="I9" s="90" t="s">
        <v>233</v>
      </c>
      <c r="J9" s="91" t="s">
        <v>240</v>
      </c>
      <c r="K9" s="91" t="s">
        <v>241</v>
      </c>
      <c r="L9" s="91" t="s">
        <v>242</v>
      </c>
      <c r="M9" s="91" t="s">
        <v>243</v>
      </c>
      <c r="N9" s="105" t="s">
        <v>244</v>
      </c>
    </row>
    <row r="10" spans="1:14" x14ac:dyDescent="0.2">
      <c r="B10" s="15" t="s">
        <v>234</v>
      </c>
      <c r="C10" s="5">
        <f>C11+C12</f>
        <v>215009.20454556661</v>
      </c>
      <c r="D10" s="5">
        <f t="shared" ref="D10:F10" si="2">D11+D12</f>
        <v>229681.78122098921</v>
      </c>
      <c r="E10" s="5">
        <f t="shared" si="2"/>
        <v>225153.19047385693</v>
      </c>
      <c r="F10" s="5">
        <f t="shared" si="2"/>
        <v>271575.72868935415</v>
      </c>
      <c r="G10" s="7">
        <f>SUM(C10:F10)</f>
        <v>941419.9049297669</v>
      </c>
      <c r="I10" s="93" t="s">
        <v>235</v>
      </c>
      <c r="J10" s="106">
        <v>21</v>
      </c>
      <c r="K10" s="106">
        <v>23</v>
      </c>
      <c r="L10" s="106">
        <v>24</v>
      </c>
      <c r="M10" s="106">
        <v>29</v>
      </c>
      <c r="N10" s="107">
        <v>97</v>
      </c>
    </row>
    <row r="11" spans="1:14" x14ac:dyDescent="0.2">
      <c r="B11" s="17" t="s">
        <v>236</v>
      </c>
      <c r="C11" s="8">
        <f>533005.978333014*('2023 IR Data Book'!$A$5)</f>
        <v>145130.41941213689</v>
      </c>
      <c r="D11" s="8">
        <f>586348.531544673*('2023 IR Data Book'!$A$5)</f>
        <v>159654.88524333524</v>
      </c>
      <c r="E11" s="8">
        <f>556350.512051748*('2023 IR Data Book'!$A$5)</f>
        <v>151486.82460702173</v>
      </c>
      <c r="F11" s="9">
        <f>673427.373818058*('2023 IR Data Book'!$A$5)</f>
        <v>183365.29265862278</v>
      </c>
      <c r="G11" s="10">
        <f>SUM(C11:F11)</f>
        <v>639637.42192111677</v>
      </c>
      <c r="I11" s="97" t="s">
        <v>237</v>
      </c>
      <c r="J11" s="98">
        <v>5</v>
      </c>
      <c r="K11" s="108">
        <v>6</v>
      </c>
      <c r="L11" s="108">
        <v>6</v>
      </c>
      <c r="M11" s="108">
        <v>7</v>
      </c>
      <c r="N11" s="109">
        <v>24</v>
      </c>
    </row>
    <row r="12" spans="1:14" x14ac:dyDescent="0.2">
      <c r="B12" s="18" t="s">
        <v>238</v>
      </c>
      <c r="C12" s="5">
        <f>256636.826281034*('2023 IR Data Book'!$A$5)</f>
        <v>69878.785133429716</v>
      </c>
      <c r="D12" s="5">
        <f>257180.778167532*('2023 IR Data Book'!$A$5)</f>
        <v>70026.89597765397</v>
      </c>
      <c r="E12" s="5">
        <f>270547.095282539*('2023 IR Data Book'!$A$5)</f>
        <v>73666.365866835215</v>
      </c>
      <c r="F12" s="6">
        <f>323961.647366464*('2023 IR Data Book'!$A$5)</f>
        <v>88210.436030731362</v>
      </c>
      <c r="G12" s="11">
        <f t="shared" ref="G12" si="3">SUM(C12:F12)</f>
        <v>301782.48300865025</v>
      </c>
      <c r="I12" s="101" t="s">
        <v>239</v>
      </c>
      <c r="J12" s="110">
        <v>16</v>
      </c>
      <c r="K12" s="110">
        <v>17</v>
      </c>
      <c r="L12" s="110">
        <v>18</v>
      </c>
      <c r="M12" s="110">
        <v>22</v>
      </c>
      <c r="N12" s="111">
        <v>73</v>
      </c>
    </row>
    <row r="13" spans="1:14" x14ac:dyDescent="0.2">
      <c r="B13" s="16"/>
      <c r="C13" s="12"/>
      <c r="D13" s="12"/>
      <c r="E13" s="12"/>
      <c r="F13" s="12"/>
      <c r="G13" s="12"/>
      <c r="I13" s="16"/>
      <c r="J13" s="12"/>
      <c r="K13" s="12"/>
      <c r="L13" s="12"/>
      <c r="M13" s="12"/>
      <c r="N13" s="12"/>
    </row>
    <row r="14" spans="1:14" ht="25.5" x14ac:dyDescent="0.2">
      <c r="B14" s="87" t="s">
        <v>223</v>
      </c>
      <c r="C14" s="88" t="s">
        <v>245</v>
      </c>
      <c r="D14" s="88" t="s">
        <v>246</v>
      </c>
      <c r="E14" s="88" t="s">
        <v>247</v>
      </c>
      <c r="F14" s="88" t="s">
        <v>248</v>
      </c>
      <c r="G14" s="88" t="s">
        <v>249</v>
      </c>
      <c r="I14" s="90" t="s">
        <v>233</v>
      </c>
      <c r="J14" s="91" t="s">
        <v>245</v>
      </c>
      <c r="K14" s="91" t="s">
        <v>246</v>
      </c>
      <c r="L14" s="91" t="s">
        <v>247</v>
      </c>
      <c r="M14" s="91" t="s">
        <v>248</v>
      </c>
      <c r="N14" s="105" t="s">
        <v>249</v>
      </c>
    </row>
    <row r="15" spans="1:14" x14ac:dyDescent="0.2">
      <c r="B15" s="15" t="s">
        <v>234</v>
      </c>
      <c r="C15" s="5">
        <f>C16+C17</f>
        <v>209228.90151624108</v>
      </c>
      <c r="D15" s="5">
        <f t="shared" ref="D15:F15" si="4">D16+D17</f>
        <v>250074.39159745848</v>
      </c>
      <c r="E15" s="5">
        <f t="shared" si="4"/>
        <v>290113.91282821569</v>
      </c>
      <c r="F15" s="5">
        <f t="shared" si="4"/>
        <v>322139.0415016372</v>
      </c>
      <c r="G15" s="7">
        <f>SUM(C15:F15)</f>
        <v>1071556.2474435526</v>
      </c>
      <c r="I15" s="93" t="s">
        <v>235</v>
      </c>
      <c r="J15" s="106">
        <v>24.89</v>
      </c>
      <c r="K15" s="106">
        <v>29</v>
      </c>
      <c r="L15" s="106">
        <v>32.616999999999997</v>
      </c>
      <c r="M15" s="106">
        <v>35</v>
      </c>
      <c r="N15" s="107">
        <v>121.50700000000001</v>
      </c>
    </row>
    <row r="16" spans="1:14" x14ac:dyDescent="0.2">
      <c r="B16" s="17" t="s">
        <v>236</v>
      </c>
      <c r="C16" s="8">
        <f>479423.365217863*('2023 IR Data Book'!$A$5)</f>
        <v>130540.58847080079</v>
      </c>
      <c r="D16" s="8">
        <f>582164.588216127*('2023 IR Data Book'!$A$5)</f>
        <v>158515.653274554</v>
      </c>
      <c r="E16" s="8">
        <f>715248.567909872*('2023 IR Data Book'!$A$5)</f>
        <v>194752.64605725426</v>
      </c>
      <c r="F16" s="9">
        <f>796492.326933316*('2023 IR Data Book'!$A$5)</f>
        <v>216874.23812375861</v>
      </c>
      <c r="G16" s="10">
        <f>SUM(C16:F16)</f>
        <v>700683.12592636759</v>
      </c>
      <c r="I16" s="97" t="s">
        <v>237</v>
      </c>
      <c r="J16" s="108">
        <v>5.19</v>
      </c>
      <c r="K16" s="108">
        <v>6</v>
      </c>
      <c r="L16" s="108">
        <v>6.53</v>
      </c>
      <c r="M16" s="108">
        <v>7</v>
      </c>
      <c r="N16" s="109">
        <v>24.720000000000002</v>
      </c>
    </row>
    <row r="17" spans="2:14" x14ac:dyDescent="0.2">
      <c r="B17" s="18" t="s">
        <v>238</v>
      </c>
      <c r="C17" s="5">
        <f>288990.698490684*('2023 IR Data Book'!$A$5)</f>
        <v>78688.313045440271</v>
      </c>
      <c r="D17" s="5">
        <f>336258.622364699*('2023 IR Data Book'!$A$5)</f>
        <v>91558.738322904479</v>
      </c>
      <c r="E17" s="5">
        <f>350223.788343033*('2023 IR Data Book'!$A$5)</f>
        <v>95361.266770961432</v>
      </c>
      <c r="F17" s="6">
        <f>386595.516885597*('2023 IR Data Book'!$A$5)</f>
        <v>105264.80337787862</v>
      </c>
      <c r="G17" s="11">
        <f t="shared" ref="G17" si="5">SUM(C17:F17)</f>
        <v>370873.12151718477</v>
      </c>
      <c r="I17" s="101" t="s">
        <v>239</v>
      </c>
      <c r="J17" s="110">
        <v>19.7</v>
      </c>
      <c r="K17" s="110">
        <v>23</v>
      </c>
      <c r="L17" s="110">
        <v>26.087</v>
      </c>
      <c r="M17" s="110">
        <v>28</v>
      </c>
      <c r="N17" s="112">
        <v>96.787000000000006</v>
      </c>
    </row>
    <row r="18" spans="2:14" x14ac:dyDescent="0.2">
      <c r="B18" s="16"/>
      <c r="C18" s="12"/>
      <c r="D18" s="12"/>
      <c r="E18" s="12"/>
      <c r="F18" s="12"/>
      <c r="G18" s="12"/>
      <c r="I18" s="16"/>
      <c r="J18" s="12"/>
      <c r="K18" s="12"/>
      <c r="L18" s="12"/>
      <c r="M18" s="12"/>
      <c r="N18" s="12"/>
    </row>
    <row r="19" spans="2:14" ht="25.5" x14ac:dyDescent="0.2">
      <c r="B19" s="87" t="s">
        <v>223</v>
      </c>
      <c r="C19" s="88" t="s">
        <v>250</v>
      </c>
      <c r="D19" s="88" t="s">
        <v>251</v>
      </c>
      <c r="E19" s="88" t="s">
        <v>252</v>
      </c>
      <c r="F19" s="88" t="s">
        <v>253</v>
      </c>
      <c r="G19" s="88" t="s">
        <v>254</v>
      </c>
      <c r="I19" s="90" t="s">
        <v>233</v>
      </c>
      <c r="J19" s="91" t="s">
        <v>250</v>
      </c>
      <c r="K19" s="91" t="s">
        <v>251</v>
      </c>
      <c r="L19" s="91" t="s">
        <v>252</v>
      </c>
      <c r="M19" s="91" t="s">
        <v>253</v>
      </c>
      <c r="N19" s="105" t="s">
        <v>254</v>
      </c>
    </row>
    <row r="20" spans="2:14" x14ac:dyDescent="0.2">
      <c r="B20" s="15" t="s">
        <v>234</v>
      </c>
      <c r="C20" s="5">
        <f>C21+C22</f>
        <v>272869.94230006775</v>
      </c>
      <c r="D20" s="5">
        <f t="shared" ref="D20:F20" si="6">D21+D22</f>
        <v>299728.11268442223</v>
      </c>
      <c r="E20" s="5">
        <f t="shared" si="6"/>
        <v>291251.90801540925</v>
      </c>
      <c r="F20" s="5">
        <f t="shared" si="6"/>
        <v>284170.26327185862</v>
      </c>
      <c r="G20" s="7">
        <f>SUM(C20:F20)</f>
        <v>1148020.2262717579</v>
      </c>
      <c r="I20" s="93" t="s">
        <v>235</v>
      </c>
      <c r="J20" s="106">
        <v>31.46</v>
      </c>
      <c r="K20" s="106">
        <v>33</v>
      </c>
      <c r="L20" s="106">
        <v>33.9</v>
      </c>
      <c r="M20" s="106">
        <v>35.489339000000001</v>
      </c>
      <c r="N20" s="107">
        <v>133.84933899999999</v>
      </c>
    </row>
    <row r="21" spans="2:14" x14ac:dyDescent="0.2">
      <c r="B21" s="17" t="s">
        <v>236</v>
      </c>
      <c r="C21" s="8">
        <f>646524.386045871*('2023 IR Data Book'!$A$5)</f>
        <v>176039.96788266377</v>
      </c>
      <c r="D21" s="8">
        <f>733555.542145953*('2023 IR Data Book'!$A$5)</f>
        <v>199737.39098893237</v>
      </c>
      <c r="E21" s="8">
        <f>608876.826084214*('2023 IR Data Book'!$A$5)</f>
        <v>165789.03939558187</v>
      </c>
      <c r="F21" s="9">
        <f>671392.92795456*('2023 IR Data Book'!$A$5)</f>
        <v>182811.34018258454</v>
      </c>
      <c r="G21" s="10">
        <f>SUM(C21:F21)</f>
        <v>724377.73844976258</v>
      </c>
      <c r="I21" s="97" t="s">
        <v>237</v>
      </c>
      <c r="J21" s="108">
        <v>6.2</v>
      </c>
      <c r="K21" s="108">
        <v>7.2</v>
      </c>
      <c r="L21" s="108">
        <v>6.3</v>
      </c>
      <c r="M21" s="113">
        <v>6.0524940000000003</v>
      </c>
      <c r="N21" s="114">
        <v>25.752493999999999</v>
      </c>
    </row>
    <row r="22" spans="2:14" x14ac:dyDescent="0.2">
      <c r="B22" s="18" t="s">
        <v>238</v>
      </c>
      <c r="C22" s="5">
        <f>355617.764045358*('2023 IR Data Book'!$A$5)</f>
        <v>96829.97441740401</v>
      </c>
      <c r="D22" s="5">
        <f>367225.924498856*('2023 IR Data Book'!$A$5)</f>
        <v>99990.721695489847</v>
      </c>
      <c r="E22" s="5">
        <f>460774.931293178*('2023 IR Data Book'!$A$5)</f>
        <v>125462.86861982736</v>
      </c>
      <c r="F22" s="6">
        <f>372250.780937668*('2023 IR Data Book'!$A$5)</f>
        <v>101358.92308927407</v>
      </c>
      <c r="G22" s="11">
        <f t="shared" ref="G22" si="7">SUM(C22:F22)</f>
        <v>423642.48782199534</v>
      </c>
      <c r="I22" s="101" t="s">
        <v>239</v>
      </c>
      <c r="J22" s="110">
        <v>25.26</v>
      </c>
      <c r="K22" s="110">
        <v>25.8</v>
      </c>
      <c r="L22" s="115">
        <v>27.6</v>
      </c>
      <c r="M22" s="116">
        <v>29.436845000000002</v>
      </c>
      <c r="N22" s="112">
        <v>108.096845</v>
      </c>
    </row>
    <row r="23" spans="2:14" x14ac:dyDescent="0.2">
      <c r="B23" s="16"/>
      <c r="C23" s="12"/>
      <c r="D23" s="12"/>
      <c r="E23" s="12"/>
      <c r="F23" s="12"/>
      <c r="G23" s="12"/>
      <c r="I23" s="16"/>
      <c r="J23" s="12"/>
      <c r="K23" s="12"/>
      <c r="L23" s="12"/>
      <c r="M23" s="12"/>
      <c r="N23" s="12"/>
    </row>
    <row r="24" spans="2:14" x14ac:dyDescent="0.2">
      <c r="B24" s="87" t="s">
        <v>223</v>
      </c>
      <c r="C24" s="88" t="s">
        <v>255</v>
      </c>
      <c r="D24" s="88" t="s">
        <v>256</v>
      </c>
      <c r="E24" s="88" t="s">
        <v>257</v>
      </c>
      <c r="F24" s="88" t="s">
        <v>277</v>
      </c>
      <c r="G24" s="88" t="s">
        <v>259</v>
      </c>
      <c r="I24" s="90" t="s">
        <v>233</v>
      </c>
      <c r="J24" s="91" t="s">
        <v>255</v>
      </c>
      <c r="K24" s="91" t="s">
        <v>256</v>
      </c>
      <c r="L24" s="91" t="s">
        <v>257</v>
      </c>
      <c r="M24" s="91" t="s">
        <v>258</v>
      </c>
      <c r="N24" s="105" t="s">
        <v>259</v>
      </c>
    </row>
    <row r="25" spans="2:14" x14ac:dyDescent="0.2">
      <c r="B25" s="15" t="s">
        <v>234</v>
      </c>
      <c r="C25" s="5">
        <f>C26+C27</f>
        <v>254756.20752683165</v>
      </c>
      <c r="D25" s="5">
        <f t="shared" ref="D25:F25" si="8">D26+D27</f>
        <v>261647.41023439413</v>
      </c>
      <c r="E25" s="5">
        <f t="shared" si="8"/>
        <v>235186.63598272594</v>
      </c>
      <c r="F25" s="5">
        <f t="shared" si="8"/>
        <v>269506.69813361298</v>
      </c>
      <c r="G25" s="7">
        <f>SUM(C25:F25)</f>
        <v>1021096.9518775647</v>
      </c>
      <c r="I25" s="93" t="s">
        <v>235</v>
      </c>
      <c r="J25" s="106">
        <f>J26+J27</f>
        <v>30.348113000000001</v>
      </c>
      <c r="K25" s="106">
        <f>K26+K27</f>
        <v>30.031293999999999</v>
      </c>
      <c r="L25" s="106">
        <f>L26+L27</f>
        <v>29.605456</v>
      </c>
      <c r="M25" s="106">
        <f t="shared" ref="M25:N25" si="9">M26+M27</f>
        <v>32.288510000000002</v>
      </c>
      <c r="N25" s="106">
        <f t="shared" si="9"/>
        <v>122.27337300000001</v>
      </c>
    </row>
    <row r="26" spans="2:14" x14ac:dyDescent="0.2">
      <c r="B26" s="17" t="s">
        <v>236</v>
      </c>
      <c r="C26" s="8">
        <f>'Aramex Express'!H7</f>
        <v>152201.99999999997</v>
      </c>
      <c r="D26" s="8">
        <f>'Aramex Express'!I7</f>
        <v>160222.25547525755</v>
      </c>
      <c r="E26" s="8">
        <f>'Aramex Express'!J7</f>
        <v>134489.68551409029</v>
      </c>
      <c r="F26" s="8">
        <f>607548.926899381*(('2023 IR Data Book'!$A$5))</f>
        <v>165427.47015721313</v>
      </c>
      <c r="G26" s="10">
        <f>SUM(C26:F26)</f>
        <v>612341.41114656092</v>
      </c>
      <c r="H26" s="4"/>
      <c r="I26" s="97" t="s">
        <v>237</v>
      </c>
      <c r="J26" s="108">
        <v>5.3397690000000004</v>
      </c>
      <c r="K26" s="108">
        <v>5.9301339999999998</v>
      </c>
      <c r="L26" s="108">
        <v>5.1237760000000003</v>
      </c>
      <c r="M26" s="113">
        <v>5.8111730000000001</v>
      </c>
      <c r="N26" s="114">
        <f>SUM(J26:M26)</f>
        <v>22.204851999999999</v>
      </c>
    </row>
    <row r="27" spans="2:14" x14ac:dyDescent="0.2">
      <c r="B27" s="18" t="s">
        <v>238</v>
      </c>
      <c r="C27" s="5">
        <f>'Aramex Domestic'!H7</f>
        <v>102554.20752683167</v>
      </c>
      <c r="D27" s="5">
        <f>'Aramex Domestic'!I7</f>
        <v>101425.15475913658</v>
      </c>
      <c r="E27" s="5">
        <f>'Aramex Domestic'!J7</f>
        <v>100696.95046863565</v>
      </c>
      <c r="F27" s="5">
        <f>382241.372666126*(('2023 IR Data Book'!$A$5))</f>
        <v>104079.22797639982</v>
      </c>
      <c r="G27" s="11">
        <f t="shared" ref="G27" si="10">SUM(C27:F27)</f>
        <v>408755.54073100374</v>
      </c>
      <c r="H27" s="4"/>
      <c r="I27" s="101" t="s">
        <v>239</v>
      </c>
      <c r="J27" s="110">
        <v>25.008344000000001</v>
      </c>
      <c r="K27" s="110">
        <v>24.10116</v>
      </c>
      <c r="L27" s="115">
        <v>24.481680000000001</v>
      </c>
      <c r="M27" s="116">
        <v>26.477336999999999</v>
      </c>
      <c r="N27" s="116">
        <f>SUM(J27:M27)</f>
        <v>100.068521</v>
      </c>
    </row>
    <row r="28" spans="2:14" x14ac:dyDescent="0.2">
      <c r="H28" s="237"/>
    </row>
    <row r="29" spans="2:14" ht="25.5" x14ac:dyDescent="0.2">
      <c r="B29" s="87" t="s">
        <v>223</v>
      </c>
      <c r="C29" s="88" t="s">
        <v>287</v>
      </c>
      <c r="D29" s="88" t="s">
        <v>288</v>
      </c>
      <c r="E29" s="88" t="s">
        <v>289</v>
      </c>
      <c r="F29" s="88" t="s">
        <v>290</v>
      </c>
      <c r="G29" s="88" t="s">
        <v>291</v>
      </c>
      <c r="I29" s="90" t="s">
        <v>233</v>
      </c>
      <c r="J29" s="91" t="str">
        <f>C29</f>
        <v>1st Qrt'23</v>
      </c>
      <c r="K29" s="91" t="str">
        <f>D29</f>
        <v>2nd Qrt'23</v>
      </c>
      <c r="L29" s="91" t="str">
        <f>E29</f>
        <v>3rd Qrt'23</v>
      </c>
      <c r="M29" s="91" t="str">
        <f>F29</f>
        <v>4th Qrt'23</v>
      </c>
      <c r="N29" s="105" t="str">
        <f>G29</f>
        <v>Full year 2023</v>
      </c>
    </row>
    <row r="30" spans="2:14" x14ac:dyDescent="0.2">
      <c r="B30" s="15" t="s">
        <v>234</v>
      </c>
      <c r="C30" s="5">
        <f>C31+C32</f>
        <v>252745.49928826661</v>
      </c>
      <c r="D30" s="5">
        <f>D31+D32</f>
        <v>248441.50182747017</v>
      </c>
      <c r="E30" s="5"/>
      <c r="F30" s="5"/>
      <c r="G30" s="7">
        <f>SUM(C30:F30)</f>
        <v>501187.00111573678</v>
      </c>
      <c r="I30" s="93" t="s">
        <v>235</v>
      </c>
      <c r="J30" s="106">
        <f>J31+J32</f>
        <v>30.013763000000001</v>
      </c>
      <c r="K30" s="106">
        <f>K31+K32</f>
        <v>29.723403000000001</v>
      </c>
      <c r="L30" s="106">
        <f>L31+L32</f>
        <v>0</v>
      </c>
      <c r="M30" s="106">
        <f t="shared" ref="M30:N30" si="11">M31+M32</f>
        <v>0</v>
      </c>
      <c r="N30" s="106">
        <f t="shared" si="11"/>
        <v>59.737166000000002</v>
      </c>
    </row>
    <row r="31" spans="2:14" x14ac:dyDescent="0.2">
      <c r="B31" s="17" t="s">
        <v>236</v>
      </c>
      <c r="C31" s="8">
        <f>'Aramex Express'!M7</f>
        <v>154272.42826484697</v>
      </c>
      <c r="D31" s="8">
        <f>'Aramex Express'!N7</f>
        <v>152764.03205798916</v>
      </c>
      <c r="E31" s="8"/>
      <c r="F31" s="8"/>
      <c r="G31" s="10">
        <f>SUM(C31:F31)</f>
        <v>307036.46032283612</v>
      </c>
      <c r="I31" s="97" t="s">
        <v>237</v>
      </c>
      <c r="J31" s="108">
        <f>'Aramex Courier'!M20/1000000</f>
        <v>5.3936590000000004</v>
      </c>
      <c r="K31" s="108">
        <f>'Aramex Courier'!N20/1000000</f>
        <v>5.491225</v>
      </c>
      <c r="L31" s="108"/>
      <c r="M31" s="113">
        <f>'Regional Breakdown'!C215/1000000</f>
        <v>0</v>
      </c>
      <c r="N31" s="114">
        <f>SUM(J31:M31)</f>
        <v>10.884884</v>
      </c>
    </row>
    <row r="32" spans="2:14" x14ac:dyDescent="0.2">
      <c r="B32" s="18" t="s">
        <v>238</v>
      </c>
      <c r="C32" s="5">
        <f>'Aramex Domestic'!M7</f>
        <v>98473.071023419645</v>
      </c>
      <c r="D32" s="5">
        <f>'Aramex Domestic'!N7</f>
        <v>95677.469769481017</v>
      </c>
      <c r="E32" s="5"/>
      <c r="F32" s="5"/>
      <c r="G32" s="11">
        <f t="shared" ref="G32" si="12">SUM(C32:F32)</f>
        <v>194150.54079290066</v>
      </c>
      <c r="H32" s="4"/>
      <c r="I32" s="101" t="s">
        <v>239</v>
      </c>
      <c r="J32" s="110">
        <f>'Aramex Courier'!M19/1000000</f>
        <v>24.620104000000001</v>
      </c>
      <c r="K32" s="110">
        <f>'Aramex Courier'!N19/1000000</f>
        <v>24.232178000000001</v>
      </c>
      <c r="L32" s="115"/>
      <c r="M32" s="116">
        <f>'Regional Breakdown'!C214/1000000</f>
        <v>0</v>
      </c>
      <c r="N32" s="116">
        <f>SUM(J32:M32)</f>
        <v>48.852282000000002</v>
      </c>
    </row>
    <row r="34" spans="3:4" x14ac:dyDescent="0.2">
      <c r="C34" s="4"/>
      <c r="D34" s="4"/>
    </row>
    <row r="35" spans="3:4" x14ac:dyDescent="0.2">
      <c r="C35" s="4"/>
      <c r="D35" s="4"/>
    </row>
    <row r="38" spans="3:4" hidden="1" x14ac:dyDescent="0.2">
      <c r="C38" s="8">
        <f>557745.393557364*('2023 IR Data Book'!$A$5)</f>
        <v>151866.63223802319</v>
      </c>
    </row>
    <row r="39" spans="3:4" hidden="1" x14ac:dyDescent="0.2">
      <c r="C39" s="5">
        <f>353346.525111743*('2023 IR Data Book'!$A$5)</f>
        <v>96211.546346387579</v>
      </c>
    </row>
    <row r="40" spans="3:4" hidden="1" x14ac:dyDescent="0.2"/>
    <row r="41" spans="3:4" hidden="1" x14ac:dyDescent="0.2">
      <c r="C41" s="4">
        <f>C26-C38</f>
        <v>335.3677619767841</v>
      </c>
    </row>
    <row r="42" spans="3:4" hidden="1" x14ac:dyDescent="0.2">
      <c r="C42" s="4">
        <f>C27-C39</f>
        <v>6342.6611804440909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6DD68-F16B-44D9-A77F-AE595237758B}">
  <dimension ref="B2:L17"/>
  <sheetViews>
    <sheetView showGridLines="0" workbookViewId="0">
      <selection activeCell="J23" sqref="J23"/>
    </sheetView>
  </sheetViews>
  <sheetFormatPr defaultColWidth="9.140625" defaultRowHeight="12.75" x14ac:dyDescent="0.2"/>
  <cols>
    <col min="1" max="1" width="9.140625" style="20"/>
    <col min="2" max="2" width="32" style="20" bestFit="1" customWidth="1"/>
    <col min="3" max="3" width="11.140625" style="20" customWidth="1"/>
    <col min="4" max="4" width="12.5703125" style="20" customWidth="1"/>
    <col min="5" max="5" width="12" style="20" customWidth="1"/>
    <col min="6" max="6" width="10.42578125" style="20" customWidth="1"/>
    <col min="7" max="7" width="11.5703125" style="20" customWidth="1"/>
    <col min="8" max="8" width="11.140625" style="20" customWidth="1"/>
    <col min="9" max="12" width="11" style="20" bestFit="1" customWidth="1"/>
    <col min="13" max="16384" width="9.140625" style="20"/>
  </cols>
  <sheetData>
    <row r="2" spans="2:12" x14ac:dyDescent="0.2">
      <c r="B2" s="212" t="s">
        <v>263</v>
      </c>
      <c r="C2" s="212" t="s">
        <v>64</v>
      </c>
      <c r="D2" s="212" t="s">
        <v>65</v>
      </c>
      <c r="E2" s="212" t="s">
        <v>66</v>
      </c>
      <c r="F2" s="212" t="s">
        <v>67</v>
      </c>
      <c r="G2" s="212" t="s">
        <v>68</v>
      </c>
      <c r="H2" s="212" t="s">
        <v>69</v>
      </c>
      <c r="I2" s="212" t="s">
        <v>261</v>
      </c>
      <c r="J2" s="212" t="s">
        <v>275</v>
      </c>
      <c r="K2" s="212" t="s">
        <v>282</v>
      </c>
      <c r="L2" s="212" t="s">
        <v>298</v>
      </c>
    </row>
    <row r="3" spans="2:12" x14ac:dyDescent="0.2">
      <c r="B3" s="20" t="s">
        <v>264</v>
      </c>
      <c r="C3" s="213">
        <f>'Group Profit &amp; Loss Stm'!C10/'Group Profit &amp; Loss Stm'!$C$8</f>
        <v>0.25169393929398792</v>
      </c>
      <c r="D3" s="213">
        <f>'Group Profit &amp; Loss Stm'!D10/'Group Profit &amp; Loss Stm'!$D$8</f>
        <v>0.24741187187405111</v>
      </c>
      <c r="E3" s="213">
        <f>'Group Profit &amp; Loss Stm'!E10/'Group Profit &amp; Loss Stm'!$E$8</f>
        <v>0.24365610057177886</v>
      </c>
      <c r="F3" s="213">
        <f>'Group Profit &amp; Loss Stm'!F10/'Group Profit &amp; Loss Stm'!$F$8</f>
        <v>0.20320561945214088</v>
      </c>
      <c r="G3" s="213">
        <f>'Group Profit &amp; Loss Stm'!H10/'Group Profit &amp; Loss Stm'!$H$8</f>
        <v>0.23748544556615778</v>
      </c>
      <c r="H3" s="213">
        <f>'Group Profit &amp; Loss Stm'!I10/'Group Profit &amp; Loss Stm'!$I$8</f>
        <v>0.24965421867526977</v>
      </c>
      <c r="I3" s="213">
        <f>'Group Profit &amp; Loss Stm'!J10/'Group Profit &amp; Loss Stm'!$J$8</f>
        <v>0.22494442913815538</v>
      </c>
      <c r="J3" s="213">
        <f>'Group Profit &amp; Loss Stm'!K10/'Group Profit &amp; Loss Stm'!$K$8</f>
        <v>0.24817210253908153</v>
      </c>
      <c r="K3" s="213">
        <f>'Group Profit &amp; Loss Stm'!$M$10/'Group Profit &amp; Loss Stm'!$M$8</f>
        <v>0.25008801980585349</v>
      </c>
      <c r="L3" s="213">
        <f>'Group Profit &amp; Loss Stm'!$N$10/'Group Profit &amp; Loss Stm'!$N$8</f>
        <v>0.24880197466706255</v>
      </c>
    </row>
    <row r="4" spans="2:12" x14ac:dyDescent="0.2">
      <c r="B4" s="20" t="s">
        <v>265</v>
      </c>
      <c r="C4" s="213">
        <f>'Group Profit &amp; Loss Stm'!C16/'Group Profit &amp; Loss Stm'!$C$8</f>
        <v>5.5760516459370392E-2</v>
      </c>
      <c r="D4" s="213">
        <f>'Group Profit &amp; Loss Stm'!D16/'Group Profit &amp; Loss Stm'!$D$8</f>
        <v>6.3371661118972716E-2</v>
      </c>
      <c r="E4" s="213">
        <f>'Group Profit &amp; Loss Stm'!E16/'Group Profit &amp; Loss Stm'!$E$8</f>
        <v>4.6542913526991823E-2</v>
      </c>
      <c r="F4" s="213">
        <f>'Group Profit &amp; Loss Stm'!F16/'Group Profit &amp; Loss Stm'!$F$8</f>
        <v>3.6393026567672911E-2</v>
      </c>
      <c r="G4" s="213">
        <f>'Group Profit &amp; Loss Stm'!H16/'Group Profit &amp; Loss Stm'!$H$8</f>
        <v>5.1766680577612842E-2</v>
      </c>
      <c r="H4" s="213">
        <f>'Group Profit &amp; Loss Stm'!I16/'Group Profit &amp; Loss Stm'!$I$8</f>
        <v>4.1915201644511686E-2</v>
      </c>
      <c r="I4" s="213">
        <f>'Group Profit &amp; Loss Stm'!J16/'Group Profit &amp; Loss Stm'!$J$8</f>
        <v>3.5693055943467625E-2</v>
      </c>
      <c r="J4" s="213">
        <f>'Group Profit &amp; Loss Stm'!K16/'Group Profit &amp; Loss Stm'!$K$8</f>
        <v>3.640223237681358E-2</v>
      </c>
      <c r="K4" s="213">
        <f>'Group Profit &amp; Loss Stm'!$M$16/'Group Profit &amp; Loss Stm'!$M$8</f>
        <v>4.4009902926728448E-2</v>
      </c>
      <c r="L4" s="213">
        <f>'Group Profit &amp; Loss Stm'!$N$16/'Group Profit &amp; Loss Stm'!$N$8</f>
        <v>3.7989672933361369E-2</v>
      </c>
    </row>
    <row r="5" spans="2:12" x14ac:dyDescent="0.2">
      <c r="B5" s="20" t="s">
        <v>183</v>
      </c>
      <c r="C5" s="213">
        <v>0.1191944670761533</v>
      </c>
      <c r="D5" s="213">
        <v>0.12267394038048969</v>
      </c>
      <c r="E5" s="213">
        <v>0.11162854256833539</v>
      </c>
      <c r="F5" s="213">
        <v>9.2863373116938347E-2</v>
      </c>
      <c r="G5" s="213">
        <v>0.11728283799012065</v>
      </c>
      <c r="H5" s="213">
        <v>0.10255493410220939</v>
      </c>
      <c r="I5" s="213">
        <v>9.9110944862207243E-2</v>
      </c>
      <c r="J5" s="213">
        <v>9.6755640701973594E-2</v>
      </c>
      <c r="K5" s="213">
        <v>0.10699506618275484</v>
      </c>
      <c r="L5" s="213">
        <v>0.10317486160973684</v>
      </c>
    </row>
    <row r="6" spans="2:12" x14ac:dyDescent="0.2">
      <c r="B6" s="20" t="s">
        <v>266</v>
      </c>
      <c r="C6" s="213">
        <f>'Group Profit &amp; Loss Stm'!C34/'Group Profit &amp; Loss Stm'!$C$8</f>
        <v>3.2291342821030883E-2</v>
      </c>
      <c r="D6" s="213">
        <f>'Group Profit &amp; Loss Stm'!D34/'Group Profit &amp; Loss Stm'!$D$8</f>
        <v>4.1673589348427645E-2</v>
      </c>
      <c r="E6" s="213">
        <f>'Group Profit &amp; Loss Stm'!E34/'Group Profit &amp; Loss Stm'!$E$8</f>
        <v>4.6404006010658243E-2</v>
      </c>
      <c r="F6" s="213">
        <f>'Group Profit &amp; Loss Stm'!F34/'Group Profit &amp; Loss Stm'!$F$8</f>
        <v>2.8697306001383753E-2</v>
      </c>
      <c r="G6" s="213">
        <f>'Group Profit &amp; Loss Stm'!H34/'Group Profit &amp; Loss Stm'!$H$8</f>
        <v>3.264632357052049E-2</v>
      </c>
      <c r="H6" s="213">
        <f>'Group Profit &amp; Loss Stm'!I34/'Group Profit &amp; Loss Stm'!$I$8</f>
        <v>2.9387293737611783E-2</v>
      </c>
      <c r="I6" s="213">
        <f>'Group Profit &amp; Loss Stm'!J34/'Group Profit &amp; Loss Stm'!$J$8</f>
        <v>2.7795580377731208E-2</v>
      </c>
      <c r="J6" s="213">
        <f>'Group Profit &amp; Loss Stm'!K34/'Group Profit &amp; Loss Stm'!$K$8</f>
        <v>2.207274083079341E-2</v>
      </c>
      <c r="K6" s="213">
        <f>'Group Profit &amp; Loss Stm'!$M$34/'Group Profit &amp; Loss Stm'!$M$8</f>
        <v>1.6702107445637292E-2</v>
      </c>
      <c r="L6" s="213">
        <f>'Group Profit &amp; Loss Stm'!$N$34/'Group Profit &amp; Loss Stm'!$N$8</f>
        <v>1.3652107824654159E-2</v>
      </c>
    </row>
    <row r="9" spans="2:12" x14ac:dyDescent="0.2">
      <c r="B9" s="176" t="s">
        <v>58</v>
      </c>
      <c r="C9" s="177">
        <v>2017</v>
      </c>
      <c r="D9" s="177">
        <v>2018</v>
      </c>
      <c r="E9" s="177">
        <v>2019</v>
      </c>
      <c r="F9" s="177">
        <v>2020</v>
      </c>
      <c r="G9" s="177">
        <v>2021</v>
      </c>
      <c r="H9" s="177">
        <v>2022</v>
      </c>
    </row>
    <row r="10" spans="2:12" x14ac:dyDescent="0.2">
      <c r="B10" s="65" t="s">
        <v>59</v>
      </c>
      <c r="C10" s="2">
        <v>0.16299979509596338</v>
      </c>
      <c r="D10" s="2">
        <v>0.16500034150672768</v>
      </c>
      <c r="E10" s="2">
        <v>0.16500000000885801</v>
      </c>
      <c r="F10" s="2">
        <f>'Group Profit &amp; Loss Stm'!F47</f>
        <v>0.13000000000697903</v>
      </c>
      <c r="G10" s="2">
        <f>'Group Profit &amp; Loss Stm'!G47</f>
        <v>0.13</v>
      </c>
      <c r="H10" s="235">
        <f>'Group Profit &amp; Loss Stm'!H47</f>
        <v>9.5334933401070077E-2</v>
      </c>
    </row>
    <row r="11" spans="2:12" x14ac:dyDescent="0.2">
      <c r="B11" s="65" t="s">
        <v>60</v>
      </c>
      <c r="C11" s="2">
        <v>0.54811333971828136</v>
      </c>
      <c r="D11" s="2">
        <v>0.49037725699554435</v>
      </c>
      <c r="E11" s="2">
        <v>0.48567852837348008</v>
      </c>
      <c r="F11" s="2">
        <f>'Group Profit &amp; Loss Stm'!F48</f>
        <v>0.71378800837877832</v>
      </c>
      <c r="G11" s="2">
        <f>'Group Profit &amp; Loss Stm'!G48</f>
        <v>0.84389534501584196</v>
      </c>
      <c r="H11" s="235">
        <f>'Group Profit &amp; Loss Stm'!H48</f>
        <v>0.84400000000000008</v>
      </c>
    </row>
    <row r="12" spans="2:12" x14ac:dyDescent="0.2">
      <c r="B12" s="23" t="s">
        <v>61</v>
      </c>
      <c r="C12" s="203">
        <v>0.16299999999999998</v>
      </c>
      <c r="D12" s="203">
        <v>0.16500000000000001</v>
      </c>
      <c r="E12" s="203">
        <v>0.16500000000000001</v>
      </c>
      <c r="F12" s="203">
        <f>'Group Profit &amp; Loss Stm'!F49</f>
        <v>0.13</v>
      </c>
      <c r="G12" s="203">
        <f>'Group Profit &amp; Loss Stm'!G49</f>
        <v>0.13</v>
      </c>
      <c r="H12" s="203">
        <f>'Group Profit &amp; Loss Stm'!H49</f>
        <v>9.5334933401070077E-2</v>
      </c>
    </row>
    <row r="15" spans="2:12" x14ac:dyDescent="0.2">
      <c r="B15" s="212" t="s">
        <v>263</v>
      </c>
      <c r="C15" s="212" t="s">
        <v>273</v>
      </c>
      <c r="D15" s="212" t="s">
        <v>168</v>
      </c>
      <c r="E15" s="212" t="s">
        <v>169</v>
      </c>
      <c r="F15" s="212" t="s">
        <v>271</v>
      </c>
      <c r="G15" s="212" t="s">
        <v>171</v>
      </c>
      <c r="H15" s="212" t="s">
        <v>172</v>
      </c>
      <c r="I15" s="212" t="s">
        <v>272</v>
      </c>
      <c r="J15" s="212" t="s">
        <v>278</v>
      </c>
      <c r="K15" s="212" t="s">
        <v>292</v>
      </c>
      <c r="L15" s="212" t="s">
        <v>300</v>
      </c>
    </row>
    <row r="16" spans="2:12" x14ac:dyDescent="0.2">
      <c r="B16" s="20" t="s">
        <v>267</v>
      </c>
      <c r="C16" s="215">
        <v>0.56296818351863021</v>
      </c>
      <c r="D16" s="215">
        <v>0.60405321422514335</v>
      </c>
      <c r="E16" s="215">
        <v>0.54180898049493065</v>
      </c>
      <c r="F16" s="215">
        <v>0.47</v>
      </c>
      <c r="G16" s="215">
        <v>0.46822274462844077</v>
      </c>
      <c r="H16" s="215">
        <v>0.50170260453748983</v>
      </c>
      <c r="I16" s="215">
        <v>0.49113760549540303</v>
      </c>
      <c r="J16" s="215">
        <v>0.875</v>
      </c>
      <c r="K16" s="215">
        <v>0.85376440279652155</v>
      </c>
      <c r="L16" s="215">
        <v>0.88382467360853345</v>
      </c>
    </row>
    <row r="17" spans="2:12" x14ac:dyDescent="0.2">
      <c r="B17" s="20" t="s">
        <v>268</v>
      </c>
      <c r="C17" s="215">
        <v>0.25528426376103186</v>
      </c>
      <c r="D17" s="215">
        <v>0.26609696286792661</v>
      </c>
      <c r="E17" s="215">
        <v>0.21035090015015731</v>
      </c>
      <c r="F17" s="215">
        <v>0.11899999999999999</v>
      </c>
      <c r="G17" s="215">
        <v>0.12092285126692787</v>
      </c>
      <c r="H17" s="215">
        <v>0.11470692493252921</v>
      </c>
      <c r="I17" s="215">
        <v>0.11704386914430294</v>
      </c>
      <c r="J17" s="215">
        <v>0.501</v>
      </c>
      <c r="K17" s="215">
        <v>0.46793452540792224</v>
      </c>
      <c r="L17" s="215">
        <v>0.48116355213358836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3B09D-8F59-4687-B8D2-95A4C8FAC1C0}">
  <dimension ref="B4:B16"/>
  <sheetViews>
    <sheetView showGridLines="0" workbookViewId="0">
      <selection activeCell="B6" sqref="B6"/>
    </sheetView>
  </sheetViews>
  <sheetFormatPr defaultColWidth="9.140625" defaultRowHeight="12.75" x14ac:dyDescent="0.2"/>
  <cols>
    <col min="1" max="1" width="9.140625" style="20"/>
    <col min="2" max="2" width="9.140625" style="166"/>
    <col min="3" max="16384" width="9.140625" style="20"/>
  </cols>
  <sheetData>
    <row r="4" spans="2:2" x14ac:dyDescent="0.2">
      <c r="B4" s="165" t="s">
        <v>8</v>
      </c>
    </row>
    <row r="5" spans="2:2" x14ac:dyDescent="0.2">
      <c r="B5" s="166" t="s">
        <v>305</v>
      </c>
    </row>
    <row r="8" spans="2:2" x14ac:dyDescent="0.2">
      <c r="B8" s="19" t="s">
        <v>9</v>
      </c>
    </row>
    <row r="9" spans="2:2" x14ac:dyDescent="0.2">
      <c r="B9" s="19" t="s">
        <v>10</v>
      </c>
    </row>
    <row r="10" spans="2:2" x14ac:dyDescent="0.2">
      <c r="B10" s="19" t="s">
        <v>11</v>
      </c>
    </row>
    <row r="11" spans="2:2" x14ac:dyDescent="0.2">
      <c r="B11" s="19" t="s">
        <v>12</v>
      </c>
    </row>
    <row r="12" spans="2:2" x14ac:dyDescent="0.2">
      <c r="B12" s="167" t="s">
        <v>13</v>
      </c>
    </row>
    <row r="13" spans="2:2" x14ac:dyDescent="0.2">
      <c r="B13" s="167" t="s">
        <v>14</v>
      </c>
    </row>
    <row r="14" spans="2:2" x14ac:dyDescent="0.2">
      <c r="B14" s="19" t="s">
        <v>15</v>
      </c>
    </row>
    <row r="15" spans="2:2" x14ac:dyDescent="0.2">
      <c r="B15" s="167" t="s">
        <v>16</v>
      </c>
    </row>
    <row r="16" spans="2:2" x14ac:dyDescent="0.2">
      <c r="B16" s="167" t="s">
        <v>17</v>
      </c>
    </row>
  </sheetData>
  <hyperlinks>
    <hyperlink ref="B8" location="'Group Profit &amp; Loss Stm'!A1" display="Income Statement" xr:uid="{5E77029C-D4B0-46F2-A567-1DDA09D60EFD}"/>
    <hyperlink ref="B9" location="'Group Balance Sheet'!A1" display="Balance Sheet" xr:uid="{EF42CBB8-3361-49C5-8312-EE6A036945FA}"/>
    <hyperlink ref="B10" location="'Group CF and CAPEX'!A1" display="Cashflow and Capex " xr:uid="{EFB99A7D-2BF4-47E8-AA75-A43E5A1E2DEA}"/>
    <hyperlink ref="B11" location="'Aramex Courier'!A1" display="Aramex Courier Product " xr:uid="{B2EF911D-3C6D-4DFB-86FC-BDFE2AD5BD16}"/>
    <hyperlink ref="B12" location="'Aramex Freight'!A1" display="Aramex Freight Product" xr:uid="{5E637270-6392-4993-A721-9CFED8ECAA03}"/>
    <hyperlink ref="B13" location="'Aramex Logistics'!A1" display="Aramex Logistics Product" xr:uid="{2C25CBA1-856C-49A6-BAC4-242B1B96DE49}"/>
    <hyperlink ref="B14" location="'Regional Breakdown'!A1" display="Regional Breakdown" xr:uid="{F61F82BE-0B45-4964-AAF8-19A0A950DC76}"/>
    <hyperlink ref="B15" location="Historic_Product_Breakdown!A1" display="Historic Product Breakdown Key Financials" xr:uid="{49083360-0C32-490F-B6A2-1F03951C06F7}"/>
    <hyperlink ref="B16" location="'Historic Express Rev_Vol_ Data'!A1" display="Historic Express Volume Data " xr:uid="{5C361A7C-BA0D-4CA0-85CC-C88649AD6A83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2C2E-26A6-42AF-B17B-CE7FE55CFB4A}">
  <dimension ref="A1:U49"/>
  <sheetViews>
    <sheetView showGridLines="0" workbookViewId="0">
      <pane xSplit="2" ySplit="7" topLeftCell="G8" activePane="bottomRight" state="frozen"/>
      <selection pane="topRight" activeCell="C1" sqref="C1"/>
      <selection pane="bottomLeft" activeCell="A8" sqref="A8"/>
      <selection pane="bottomRight" activeCell="T29" sqref="T29"/>
    </sheetView>
  </sheetViews>
  <sheetFormatPr defaultColWidth="9.140625" defaultRowHeight="12.75" x14ac:dyDescent="0.2"/>
  <cols>
    <col min="1" max="1" width="4.85546875" style="20" customWidth="1"/>
    <col min="2" max="2" width="66.85546875" style="20" customWidth="1"/>
    <col min="3" max="5" width="10" style="20" bestFit="1" customWidth="1"/>
    <col min="6" max="6" width="10" style="20" customWidth="1"/>
    <col min="7" max="8" width="10" style="20" bestFit="1" customWidth="1"/>
    <col min="9" max="12" width="10" style="20" customWidth="1"/>
    <col min="13" max="14" width="10" style="20" bestFit="1" customWidth="1"/>
    <col min="15" max="15" width="9.140625" style="20" customWidth="1"/>
    <col min="16" max="16" width="11.7109375" style="20" bestFit="1" customWidth="1"/>
    <col min="17" max="16384" width="9.140625" style="20"/>
  </cols>
  <sheetData>
    <row r="1" spans="1:21" x14ac:dyDescent="0.2">
      <c r="A1" s="162">
        <f>'2023 IR Data Book'!$A$5</f>
        <v>0.27228666339922669</v>
      </c>
    </row>
    <row r="3" spans="1:21" ht="15.75" x14ac:dyDescent="0.25">
      <c r="B3" s="129" t="s">
        <v>18</v>
      </c>
    </row>
    <row r="5" spans="1:21" x14ac:dyDescent="0.2">
      <c r="B5" s="124" t="s">
        <v>285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21" x14ac:dyDescent="0.2">
      <c r="B6" s="126"/>
      <c r="C6" s="127" t="s">
        <v>20</v>
      </c>
      <c r="D6" s="127" t="s">
        <v>21</v>
      </c>
      <c r="E6" s="127" t="s">
        <v>22</v>
      </c>
      <c r="F6" s="127" t="s">
        <v>23</v>
      </c>
      <c r="G6" s="127" t="s">
        <v>24</v>
      </c>
      <c r="H6" s="127" t="s">
        <v>25</v>
      </c>
      <c r="I6" s="127" t="s">
        <v>26</v>
      </c>
      <c r="J6" s="127" t="s">
        <v>260</v>
      </c>
      <c r="K6" s="127" t="s">
        <v>274</v>
      </c>
      <c r="L6" s="127" t="s">
        <v>279</v>
      </c>
      <c r="M6" s="127" t="s">
        <v>281</v>
      </c>
      <c r="N6" s="127" t="s">
        <v>297</v>
      </c>
    </row>
    <row r="7" spans="1:21" ht="15" x14ac:dyDescent="0.25">
      <c r="B7" s="21" t="s">
        <v>28</v>
      </c>
    </row>
    <row r="8" spans="1:21" x14ac:dyDescent="0.2">
      <c r="B8" s="22" t="s">
        <v>29</v>
      </c>
      <c r="C8" s="28">
        <f>((1424933))*('2023 IR Data Book'!$A$5)</f>
        <v>387990.25213745027</v>
      </c>
      <c r="D8" s="28">
        <f>(1570923)*('2023 IR Data Book'!$A$5)</f>
        <v>427741.3821271034</v>
      </c>
      <c r="E8" s="28">
        <f>(1461404)*('2023 IR Data Book'!$A$5)</f>
        <v>397920.81903828349</v>
      </c>
      <c r="F8" s="28">
        <f>G8-C8-D8-E8</f>
        <v>438802.21096770681</v>
      </c>
      <c r="G8" s="28">
        <f>(6068805)*('2023 IR Data Book'!$A$5)</f>
        <v>1652454.664270544</v>
      </c>
      <c r="H8" s="28">
        <f>(1448931.82909692)*('2023 IR Data Book'!$A$5)</f>
        <v>394524.81323773891</v>
      </c>
      <c r="I8" s="28">
        <f>(1516588.75107447)*('2023 IR Data Book'!$A$5)</f>
        <v>412946.89077886782</v>
      </c>
      <c r="J8" s="28">
        <f>1426250.44629083*('2023 IR Data Book'!$A$5)</f>
        <v>388348.97519218805</v>
      </c>
      <c r="K8" s="28">
        <f>L8-H8-I8-J8</f>
        <v>417751.41682623746</v>
      </c>
      <c r="L8" s="28">
        <f>5926004.87989826*('2023 IR Data Book'!$A$5)</f>
        <v>1613572.0960350323</v>
      </c>
      <c r="M8" s="28">
        <f>1431496*('2023 IR Data Book'!$A$5)</f>
        <v>389777.26950933941</v>
      </c>
      <c r="N8" s="28">
        <f>1388839.25356387*((('2023 IR Data Book'!$A$5)))</f>
        <v>378162.40635077871</v>
      </c>
    </row>
    <row r="9" spans="1:21" x14ac:dyDescent="0.2">
      <c r="B9" s="22" t="s">
        <v>30</v>
      </c>
      <c r="C9" s="28">
        <f>-1066286*('2023 IR Data Book'!$A$5)</f>
        <v>-290335.4571693078</v>
      </c>
      <c r="D9" s="28">
        <f>-1182258*('2023 IR Data Book'!$A$5)</f>
        <v>-321913.08609704295</v>
      </c>
      <c r="E9" s="28">
        <f>-1105324*('2023 IR Data Book'!$A$5)</f>
        <v>-300964.98393508687</v>
      </c>
      <c r="F9" s="28">
        <f>G9-C9-D9-E9</f>
        <v>-349635.13587104494</v>
      </c>
      <c r="G9" s="28">
        <f>(-4637938)*('2023 IR Data Book'!$A$5)</f>
        <v>-1262848.6630724827</v>
      </c>
      <c r="H9" s="28">
        <f>-1104831.60806885*('2023 IR Data Book'!$A$5)</f>
        <v>-300830.9121790693</v>
      </c>
      <c r="I9" s="28">
        <f>-1137965.97137327*('2023 IR Data Book'!$A$5)</f>
        <v>-309852.95740708761</v>
      </c>
      <c r="J9" s="28">
        <f>-1105423.3538419*('2023 IR Data Book'!$A$5)</f>
        <v>-300992.03666119365</v>
      </c>
      <c r="K9" s="28">
        <f>L9-H9-I9-J9</f>
        <v>-314077.16937378986</v>
      </c>
      <c r="L9" s="28">
        <f>-4501700.7455262*('2023 IR Data Book'!$A$5)</f>
        <v>-1225753.0756211404</v>
      </c>
      <c r="M9" s="28">
        <f>-1073496*('2023 IR Data Book'!$A$5)</f>
        <v>-292298.64401241625</v>
      </c>
      <c r="N9" s="28">
        <f>-1043293.30478205*((('2023 IR Data Book'!$A$5)))</f>
        <v>-284074.85290585685</v>
      </c>
    </row>
    <row r="10" spans="1:21" x14ac:dyDescent="0.2">
      <c r="B10" s="23" t="s">
        <v>31</v>
      </c>
      <c r="C10" s="29">
        <f>C8+C9</f>
        <v>97654.794968142465</v>
      </c>
      <c r="D10" s="29">
        <f>D8+D9</f>
        <v>105828.29603006045</v>
      </c>
      <c r="E10" s="29">
        <f t="shared" ref="E10:G10" si="0">E8+E9</f>
        <v>96955.835103196616</v>
      </c>
      <c r="F10" s="29">
        <f t="shared" si="0"/>
        <v>89167.075096661865</v>
      </c>
      <c r="G10" s="29">
        <f t="shared" si="0"/>
        <v>389606.00119806128</v>
      </c>
      <c r="H10" s="29">
        <f t="shared" ref="H10:N10" si="1">H8+H9</f>
        <v>93693.901058669609</v>
      </c>
      <c r="I10" s="29">
        <f t="shared" si="1"/>
        <v>103093.93337178021</v>
      </c>
      <c r="J10" s="29">
        <f t="shared" si="1"/>
        <v>87356.938530994405</v>
      </c>
      <c r="K10" s="29">
        <f t="shared" si="1"/>
        <v>103674.2474524476</v>
      </c>
      <c r="L10" s="29">
        <f t="shared" si="1"/>
        <v>387819.02041389188</v>
      </c>
      <c r="M10" s="29">
        <f t="shared" si="1"/>
        <v>97478.625496923167</v>
      </c>
      <c r="N10" s="29">
        <f t="shared" si="1"/>
        <v>94087.553444921854</v>
      </c>
      <c r="Q10" s="28"/>
      <c r="S10" s="236"/>
      <c r="U10" s="28"/>
    </row>
    <row r="11" spans="1:21" x14ac:dyDescent="0.2">
      <c r="B11" s="22" t="s">
        <v>32</v>
      </c>
      <c r="C11" s="28">
        <f>-67400*('2023 IR Data Book'!$A$5)</f>
        <v>-18352.121113107878</v>
      </c>
      <c r="D11" s="28">
        <f>-77114*('2023 IR Data Book'!$A$5)</f>
        <v>-20997.113761367968</v>
      </c>
      <c r="E11" s="28">
        <f>-62964*('2023 IR Data Book'!$A$5)</f>
        <v>-17144.25747426891</v>
      </c>
      <c r="F11" s="28">
        <f t="shared" ref="F11:F14" si="2">G11-C11-D11-E11</f>
        <v>-17706.801720851712</v>
      </c>
      <c r="G11" s="28">
        <f>(-272508)*('2023 IR Data Book'!$A$5)</f>
        <v>-74200.294069596464</v>
      </c>
      <c r="H11" s="28">
        <f>-58785.3492673848*('2023 IR Data Book'!$A$5)</f>
        <v>-16006.466608774383</v>
      </c>
      <c r="I11" s="28">
        <f>-65139.864353484*('2023 IR Data Book'!$A$5)</f>
        <v>-17736.716319088384</v>
      </c>
      <c r="J11" s="28">
        <f>-62179.9677381306*('2023 IR Data Book'!$A$5)</f>
        <v>-16930.775945687143</v>
      </c>
      <c r="K11" s="28">
        <f>L11-H11-I11-J11</f>
        <v>-19476.848764515758</v>
      </c>
      <c r="L11" s="28">
        <f>-257635.85613156*('2023 IR Data Book'!$A$5)</f>
        <v>-70150.807638065671</v>
      </c>
      <c r="M11" s="28">
        <f>-71390*('2023 IR Data Book'!$A$5)</f>
        <v>-19438.544900070792</v>
      </c>
      <c r="N11" s="28">
        <f>-79755.3704061832*((('2023 IR Data Book'!$A$5)))</f>
        <v>-21716.323696069048</v>
      </c>
    </row>
    <row r="12" spans="1:21" x14ac:dyDescent="0.2">
      <c r="B12" s="24" t="s">
        <v>33</v>
      </c>
      <c r="C12" s="28">
        <f>-3646*('2023 IR Data Book'!$A$5)</f>
        <v>-992.75717475358056</v>
      </c>
      <c r="D12" s="28">
        <f>-5016*('2023 IR Data Book'!$A$5)</f>
        <v>-1365.7899036105212</v>
      </c>
      <c r="E12" s="28">
        <f>-6363*('2023 IR Data Book'!$A$5)</f>
        <v>-1732.5600392092795</v>
      </c>
      <c r="F12" s="28">
        <f t="shared" si="2"/>
        <v>-414.42030169362329</v>
      </c>
      <c r="G12" s="28">
        <f>(-15635-912)*('2023 IR Data Book'!$A$5)</f>
        <v>-4505.527419267004</v>
      </c>
      <c r="H12" s="28">
        <f>-4547.01664062866*('2023 IR Data Book'!$A$5)</f>
        <v>-1238.0919894975384</v>
      </c>
      <c r="I12" s="28">
        <f>-4758.01804787734*('2023 IR Data Book'!$A$5)</f>
        <v>-1295.544858649823</v>
      </c>
      <c r="J12" s="28">
        <f>-4518.9367594406*('2023 IR Data Book'!$A$5)</f>
        <v>-1230.446212340195</v>
      </c>
      <c r="K12" s="28">
        <f>L12-H12-I12-J12</f>
        <v>-619.10218289342697</v>
      </c>
      <c r="L12" s="28">
        <f>-16097.686124841*(('2023 IR Data Book'!$A$5))</f>
        <v>-4383.1852433809836</v>
      </c>
      <c r="M12" s="28">
        <f>-12899*('2023 IR Data Book'!$A$5)</f>
        <v>-3512.2256711866253</v>
      </c>
      <c r="N12" s="28">
        <f>-611.305297781729*((('2023 IR Data Book'!$A$5)))</f>
        <v>-166.45027985125768</v>
      </c>
      <c r="P12" s="28"/>
      <c r="Q12" s="28"/>
      <c r="S12" s="236"/>
      <c r="U12" s="28"/>
    </row>
    <row r="13" spans="1:21" x14ac:dyDescent="0.2">
      <c r="B13" s="24" t="s">
        <v>34</v>
      </c>
      <c r="C13" s="28">
        <f>-216289*('2023 IR Data Book'!$A$5)</f>
        <v>-58892.610139955344</v>
      </c>
      <c r="D13" s="28">
        <f>-213497*('2023 IR Data Book'!$A$5)</f>
        <v>-58132.385775744704</v>
      </c>
      <c r="E13" s="28">
        <f>-220767*('2023 IR Data Book'!$A$5)</f>
        <v>-60111.909818657077</v>
      </c>
      <c r="F13" s="28">
        <f t="shared" si="2"/>
        <v>-64559.440178620032</v>
      </c>
      <c r="G13" s="28">
        <f>-887654*('2023 IR Data Book'!$A$5)</f>
        <v>-241696.34591297718</v>
      </c>
      <c r="H13" s="28">
        <f>-214112.877240882*('2023 IR Data Book'!$A$5)</f>
        <v>-58300.080934727979</v>
      </c>
      <c r="I13" s="28">
        <f>-234187.438032882*('2023 IR Data Book'!$A$5)</f>
        <v>-63766.116111986601</v>
      </c>
      <c r="J13" s="28">
        <f>-213023.336177279*('2023 IR Data Book'!$A$5)</f>
        <v>-58003.413433883077</v>
      </c>
      <c r="K13" s="28">
        <f>L13-H13-I13-J13</f>
        <v>-67070.835866250884</v>
      </c>
      <c r="L13" s="28">
        <f>-907648.003253436*(('2023 IR Data Book'!$A$5))</f>
        <v>-247140.44634684853</v>
      </c>
      <c r="M13" s="28">
        <f>-209421*('2023 IR Data Book'!$A$5)</f>
        <v>-57022.545335729454</v>
      </c>
      <c r="N13" s="28">
        <f>-213482.289965244*((('2023 IR Data Book'!$A$5)))</f>
        <v>-58128.380429462508</v>
      </c>
      <c r="P13" s="28"/>
      <c r="Q13" s="28"/>
      <c r="S13" s="236"/>
      <c r="U13" s="28"/>
    </row>
    <row r="14" spans="1:21" x14ac:dyDescent="0.2">
      <c r="B14" s="20" t="s">
        <v>35</v>
      </c>
      <c r="C14" s="28">
        <f>0*('2023 IR Data Book'!$A$5)</f>
        <v>0</v>
      </c>
      <c r="D14" s="28">
        <f>0*('2023 IR Data Book'!$A$5)</f>
        <v>0</v>
      </c>
      <c r="E14" s="28">
        <f>6611*('2023 IR Data Book'!$A$5)</f>
        <v>1800.0871317322876</v>
      </c>
      <c r="F14" s="28">
        <f t="shared" si="2"/>
        <v>7366.987964929478</v>
      </c>
      <c r="G14" s="28">
        <f>33667*('2023 IR Data Book'!$A$5)</f>
        <v>9167.0750966617652</v>
      </c>
      <c r="H14" s="28">
        <f>0*('2023 IR Data Book'!$A$5)</f>
        <v>0</v>
      </c>
      <c r="I14" s="28">
        <f>0*('2023 IR Data Book'!$A$5)</f>
        <v>0</v>
      </c>
      <c r="J14" s="28">
        <v>0</v>
      </c>
      <c r="K14" s="28">
        <f>L14-H14-I14-J14</f>
        <v>351.49799999999999</v>
      </c>
      <c r="L14" s="28">
        <f>1290.9115548*(('2023 IR Data Book'!$A$5))</f>
        <v>351.49799999999999</v>
      </c>
      <c r="M14" s="28">
        <v>0</v>
      </c>
      <c r="N14" s="28">
        <f>0*((('2023 IR Data Book'!$A$5)))</f>
        <v>0</v>
      </c>
      <c r="S14" s="236"/>
      <c r="U14" s="28"/>
    </row>
    <row r="15" spans="1:21" x14ac:dyDescent="0.2">
      <c r="B15" s="24" t="s">
        <v>36</v>
      </c>
      <c r="C15" s="28">
        <f>8143*('2023 IR Data Book'!$A$5)</f>
        <v>2217.2303000599031</v>
      </c>
      <c r="D15" s="28">
        <f>6514*('2023 IR Data Book'!$A$5)</f>
        <v>1773.6753253825627</v>
      </c>
      <c r="E15" s="28">
        <f>(-4579)*('2023 IR Data Book'!$A$5)</f>
        <v>-1246.800631705059</v>
      </c>
      <c r="F15" s="28">
        <f>G15-C15-D15-E15</f>
        <v>2115.9396612753903</v>
      </c>
      <c r="G15" s="28">
        <f>(17849)*('2023 IR Data Book'!$A$5)</f>
        <v>4860.0446550127972</v>
      </c>
      <c r="H15" s="28">
        <f>8351.413296422*('2023 IR Data Book'!$A$5)</f>
        <v>2273.9784611506834</v>
      </c>
      <c r="I15" s="34">
        <f>-10969.3359538721*('2023 IR Data Book'!$A$5)</f>
        <v>-2986.8038865850076</v>
      </c>
      <c r="J15" s="34">
        <f>9802.38519477437*('2023 IR Data Book'!$A$5)</f>
        <v>2669.058758039092</v>
      </c>
      <c r="K15" s="34">
        <f>L15-H15-I15-J15</f>
        <v>-1651.8744877357187</v>
      </c>
      <c r="L15" s="34">
        <f>1117.78829366607*(('2023 IR Data Book'!$A$5))</f>
        <v>304.35884486904916</v>
      </c>
      <c r="M15" s="34">
        <f>-1290*('2023 IR Data Book'!$A$5)</f>
        <v>-351.24979578500245</v>
      </c>
      <c r="N15" s="34">
        <f>1064.56588729404*((('2023 IR Data Book'!$A$5)))</f>
        <v>289.86709341993139</v>
      </c>
      <c r="S15" s="236"/>
      <c r="U15" s="28"/>
    </row>
    <row r="16" spans="1:21" x14ac:dyDescent="0.2">
      <c r="B16" s="25" t="s">
        <v>37</v>
      </c>
      <c r="C16" s="29">
        <f t="shared" ref="C16:I16" si="3">SUM(C10:C15)</f>
        <v>21634.536840385565</v>
      </c>
      <c r="D16" s="29">
        <f t="shared" si="3"/>
        <v>27106.681914719808</v>
      </c>
      <c r="E16" s="29">
        <f t="shared" si="3"/>
        <v>18520.394271088589</v>
      </c>
      <c r="F16" s="29">
        <f t="shared" si="3"/>
        <v>15969.340521701366</v>
      </c>
      <c r="G16" s="29">
        <f t="shared" si="3"/>
        <v>83230.953547895217</v>
      </c>
      <c r="H16" s="29">
        <f t="shared" si="3"/>
        <v>20423.239986820394</v>
      </c>
      <c r="I16" s="33">
        <f t="shared" si="3"/>
        <v>17308.752195470388</v>
      </c>
      <c r="J16" s="33">
        <f t="shared" ref="J16:K16" si="4">SUM(J10:J15)</f>
        <v>13861.361697123088</v>
      </c>
      <c r="K16" s="33">
        <f t="shared" si="4"/>
        <v>15207.084151051806</v>
      </c>
      <c r="L16" s="33">
        <f t="shared" ref="L16:N16" si="5">SUM(L10:L15)</f>
        <v>66800.438030465783</v>
      </c>
      <c r="M16" s="33">
        <f t="shared" si="5"/>
        <v>17154.059794151301</v>
      </c>
      <c r="N16" s="33">
        <f t="shared" si="5"/>
        <v>14366.266132958981</v>
      </c>
      <c r="Q16" s="28"/>
    </row>
    <row r="17" spans="2:17" x14ac:dyDescent="0.2">
      <c r="B17" s="25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2:17" x14ac:dyDescent="0.2">
      <c r="B18" s="22" t="s">
        <v>38</v>
      </c>
      <c r="C18" s="28">
        <f>2247*('2023 IR Data Book'!$A$5)</f>
        <v>611.82813265806237</v>
      </c>
      <c r="D18" s="28">
        <f>1426*('2023 IR Data Book'!$A$5)</f>
        <v>388.28078200729726</v>
      </c>
      <c r="E18" s="28">
        <f>1374*('2023 IR Data Book'!$A$5)</f>
        <v>374.12187551053745</v>
      </c>
      <c r="F18" s="28">
        <f t="shared" ref="F18:F20" si="6">G18-C18-D18-E18</f>
        <v>370.037575559549</v>
      </c>
      <c r="G18" s="28">
        <f>6406*('2023 IR Data Book'!$A$5)</f>
        <v>1744.2683657354462</v>
      </c>
      <c r="H18" s="28">
        <f>991.01122253691*('2023 IR Data Book'!$A$5)</f>
        <v>269.83913917576376</v>
      </c>
      <c r="I18" s="28">
        <f>1005.15436493052*('2023 IR Data Book'!$A$5)</f>
        <v>273.69012822809998</v>
      </c>
      <c r="J18" s="28">
        <f>763.151258181049*('2023 IR Data Book'!$A$5)</f>
        <v>207.79590975903963</v>
      </c>
      <c r="K18" s="28">
        <f>L18-H18-I18-J18</f>
        <v>591.8080705693543</v>
      </c>
      <c r="L18" s="28">
        <f>4932.79116562149*(('2023 IR Data Book'!$A$5))</f>
        <v>1343.1332477322578</v>
      </c>
      <c r="M18" s="28">
        <f>2436*('2023 IR Data Book'!$A$5)</f>
        <v>663.29031204051626</v>
      </c>
      <c r="N18" s="28">
        <f>1849.42847834543*((('2023 IR Data Book'!$A$5)))</f>
        <v>503.57470956418609</v>
      </c>
    </row>
    <row r="19" spans="2:17" x14ac:dyDescent="0.2">
      <c r="B19" s="22" t="s">
        <v>39</v>
      </c>
      <c r="C19" s="28">
        <f>-15290*('2023 IR Data Book'!$A$5)</f>
        <v>-4163.2630833741759</v>
      </c>
      <c r="D19" s="28">
        <f>-15364*('2023 IR Data Book'!$A$5)</f>
        <v>-4183.412296465719</v>
      </c>
      <c r="E19" s="28">
        <f>-15494*('2023 IR Data Book'!$A$5)</f>
        <v>-4218.8095627076182</v>
      </c>
      <c r="F19" s="28">
        <f t="shared" si="6"/>
        <v>-3795.6760877852203</v>
      </c>
      <c r="G19" s="28">
        <f>-60088*('2023 IR Data Book'!$A$5)</f>
        <v>-16361.161030332734</v>
      </c>
      <c r="H19" s="28">
        <f>-12840.3882239414*('2023 IR Data Book'!$A$5)</f>
        <v>-3496.2664662477259</v>
      </c>
      <c r="I19" s="28">
        <f>-15376.8808591112*('2023 IR Data Book'!$A$5)</f>
        <v>-4186.9195826148225</v>
      </c>
      <c r="J19" s="28">
        <f>-16307.2683124092*('2023 IR Data Book'!$A$5)</f>
        <v>-4440.2516779418393</v>
      </c>
      <c r="K19" s="28">
        <f>L19-H19-I19-J19</f>
        <v>-7691.7741218541369</v>
      </c>
      <c r="L19" s="28">
        <f>-72773.3470353833*(('2023 IR Data Book'!$A$5))</f>
        <v>-19815.211848658524</v>
      </c>
      <c r="M19" s="28">
        <f>-30466*('2023 IR Data Book'!$A$5)</f>
        <v>-8295.4854871208408</v>
      </c>
      <c r="N19" s="28">
        <f>-32581.7075606479*((('2023 IR Data Book'!$A$5)))</f>
        <v>-8871.5644395381751</v>
      </c>
    </row>
    <row r="20" spans="2:17" x14ac:dyDescent="0.2">
      <c r="B20" s="26" t="s">
        <v>40</v>
      </c>
      <c r="C20" s="28">
        <f>2685*('2023 IR Data Book'!$A$5)</f>
        <v>731.08969122692372</v>
      </c>
      <c r="D20" s="28">
        <f>4608*('2023 IR Data Book'!$A$5)</f>
        <v>1254.6969449436365</v>
      </c>
      <c r="E20" s="28">
        <f>1911*('2023 IR Data Book'!$A$5)</f>
        <v>520.33981375592225</v>
      </c>
      <c r="F20" s="28">
        <f t="shared" si="6"/>
        <v>279.91068997440539</v>
      </c>
      <c r="G20" s="28">
        <f>10232*('2023 IR Data Book'!$A$5)</f>
        <v>2786.0371399008877</v>
      </c>
      <c r="H20" s="28">
        <f>3555.9604193588*('2023 IR Data Book'!$A$5)</f>
        <v>968.24059776692263</v>
      </c>
      <c r="I20" s="28">
        <f>4164.24552562748*('2023 IR Data Book'!$A$5)</f>
        <v>1133.8685197482655</v>
      </c>
      <c r="J20" s="28">
        <f>944.488232574719*(('2023 IR Data Book'!$A$5))</f>
        <v>257.17154946760303</v>
      </c>
      <c r="K20" s="28">
        <f>L20-H20-I20-J20</f>
        <v>146.70218869543913</v>
      </c>
      <c r="L20" s="28">
        <f>9203.47263576387*(('2023 IR Data Book'!$A$5))</f>
        <v>2505.9828556782304</v>
      </c>
      <c r="M20" s="28">
        <f>490*(('2023 IR Data Book'!$A$5))</f>
        <v>133.42046506562107</v>
      </c>
      <c r="N20" s="28">
        <f>1966.87130717546*((('2023 IR Data Book'!$A$5)))</f>
        <v>535.55282556648149</v>
      </c>
    </row>
    <row r="21" spans="2:17" x14ac:dyDescent="0.2">
      <c r="B21" s="23" t="s">
        <v>41</v>
      </c>
      <c r="C21" s="29">
        <f>SUM(C16:C20)</f>
        <v>18814.191580896375</v>
      </c>
      <c r="D21" s="29">
        <f t="shared" ref="D21:I21" si="7">SUM(D16:D20)</f>
        <v>24566.247345205022</v>
      </c>
      <c r="E21" s="29">
        <f t="shared" si="7"/>
        <v>15196.046397647429</v>
      </c>
      <c r="F21" s="29">
        <f t="shared" si="7"/>
        <v>12823.612699450101</v>
      </c>
      <c r="G21" s="29">
        <f t="shared" si="7"/>
        <v>71400.098023198821</v>
      </c>
      <c r="H21" s="29">
        <f t="shared" si="7"/>
        <v>18165.053257515356</v>
      </c>
      <c r="I21" s="29">
        <f t="shared" si="7"/>
        <v>14529.39126083193</v>
      </c>
      <c r="J21" s="29">
        <f t="shared" ref="J21:K21" si="8">SUM(J16:J20)</f>
        <v>9886.0774784078894</v>
      </c>
      <c r="K21" s="29">
        <f t="shared" si="8"/>
        <v>8253.8202884624625</v>
      </c>
      <c r="L21" s="29">
        <f t="shared" ref="L21:N21" si="9">SUM(L16:L20)</f>
        <v>50834.342285217746</v>
      </c>
      <c r="M21" s="29">
        <f t="shared" si="9"/>
        <v>9655.285084136598</v>
      </c>
      <c r="N21" s="29">
        <f t="shared" si="9"/>
        <v>6533.8292285514726</v>
      </c>
    </row>
    <row r="22" spans="2:17" x14ac:dyDescent="0.2">
      <c r="B22" s="22" t="s">
        <v>42</v>
      </c>
      <c r="C22" s="28">
        <f>-27647*('2023 IR Data Book'!$A$5)</f>
        <v>-7527.9093829984204</v>
      </c>
      <c r="D22" s="28">
        <f>-29409*('2023 IR Data Book'!$A$5)</f>
        <v>-8007.6784839078582</v>
      </c>
      <c r="E22" s="28">
        <f>-23812*('2023 IR Data Book'!$A$5)</f>
        <v>-6483.6900288623856</v>
      </c>
      <c r="F22" s="28">
        <f t="shared" ref="F22" si="10">G22-C22-D22-E22</f>
        <v>-164.46114469313488</v>
      </c>
      <c r="G22" s="28">
        <f>(-81472)*('2023 IR Data Book'!$A$5)</f>
        <v>-22183.739040461798</v>
      </c>
      <c r="H22" s="28">
        <f>-19735.8152716225*('2023 IR Data Book'!$A$5)</f>
        <v>-5373.799289773594</v>
      </c>
      <c r="I22" s="28">
        <f>-8349.12519583467*('2023 IR Data Book'!$A$5)</f>
        <v>-2273.3554418762374</v>
      </c>
      <c r="J22" s="28">
        <f>504.491688053108*(('2023 IR Data Book'!$A$5))</f>
        <v>137.3663584526243</v>
      </c>
      <c r="K22" s="28">
        <f>L22-H22-I22-J22</f>
        <v>518.98014679667358</v>
      </c>
      <c r="L22" s="28">
        <f>-25674.4422922786*(('2023 IR Data Book'!$A$5))</f>
        <v>-6990.8082264005334</v>
      </c>
      <c r="M22" s="28">
        <f>-10898*(('2023 IR Data Book'!$A$5))</f>
        <v>-2967.3800577247725</v>
      </c>
      <c r="N22" s="28">
        <f>-4976.19455747377*((('2023 IR Data Book'!$A$5)))</f>
        <v>-1354.9514124799243</v>
      </c>
    </row>
    <row r="23" spans="2:17" ht="15" x14ac:dyDescent="0.25">
      <c r="B23" s="23" t="s">
        <v>43</v>
      </c>
      <c r="C23" s="30">
        <f>SUM(C21:C22)</f>
        <v>11286.282197897955</v>
      </c>
      <c r="D23" s="30">
        <f>SUM(D21:D22)</f>
        <v>16558.568861297164</v>
      </c>
      <c r="E23" s="30">
        <f t="shared" ref="E23:G23" si="11">SUM(E21:E22)</f>
        <v>8712.3563687850437</v>
      </c>
      <c r="F23" s="30">
        <f t="shared" si="11"/>
        <v>12659.151554756965</v>
      </c>
      <c r="G23" s="30">
        <f t="shared" si="11"/>
        <v>49216.358982737023</v>
      </c>
      <c r="H23" s="30">
        <f t="shared" ref="H23:N23" si="12">SUM(H21:H22)</f>
        <v>12791.253967741763</v>
      </c>
      <c r="I23" s="30">
        <f t="shared" si="12"/>
        <v>12256.035818955692</v>
      </c>
      <c r="J23" s="30">
        <f t="shared" si="12"/>
        <v>10023.443836860513</v>
      </c>
      <c r="K23" s="30">
        <f t="shared" si="12"/>
        <v>8772.8004352591361</v>
      </c>
      <c r="L23" s="30">
        <f t="shared" si="12"/>
        <v>43843.534058817211</v>
      </c>
      <c r="M23" s="30">
        <f t="shared" si="12"/>
        <v>6687.905026411825</v>
      </c>
      <c r="N23" s="30">
        <f t="shared" si="12"/>
        <v>5178.8778160715483</v>
      </c>
      <c r="P23" s="210"/>
      <c r="Q23" s="210"/>
    </row>
    <row r="24" spans="2:17" x14ac:dyDescent="0.2">
      <c r="B24" s="23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P24" s="83"/>
    </row>
    <row r="25" spans="2:17" x14ac:dyDescent="0.2">
      <c r="B25" s="23" t="s">
        <v>44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P25" s="2"/>
      <c r="Q25" s="2"/>
    </row>
    <row r="26" spans="2:17" x14ac:dyDescent="0.2">
      <c r="B26" s="22" t="s">
        <v>45</v>
      </c>
      <c r="C26" s="28">
        <f>5895*('2023 IR Data Book'!$A$5)</f>
        <v>1605.1298807384414</v>
      </c>
      <c r="D26" s="28">
        <f>5432*('2023 IR Data Book'!$A$5)</f>
        <v>1479.0611555845994</v>
      </c>
      <c r="E26" s="28">
        <f>5037*('2023 IR Data Book'!$A$5)</f>
        <v>1371.5079235419048</v>
      </c>
      <c r="F26" s="28">
        <f t="shared" ref="F26:F27" si="13">G26-C26-D26-E26</f>
        <v>-169.63459129771809</v>
      </c>
      <c r="G26" s="28">
        <f>(15741)*('2023 IR Data Book'!$A$5)</f>
        <v>4286.0643685672276</v>
      </c>
      <c r="H26" s="28">
        <f>8.02103920024501*('2023 IR Data Book'!$A$5)</f>
        <v>2.1840220008291156</v>
      </c>
      <c r="I26" s="28">
        <f>-23.9996667664583*('2023 IR Data Book'!$A$5)</f>
        <v>-6.5347891865322385</v>
      </c>
      <c r="J26" s="28">
        <f>1191.33466071547*(('2023 IR Data Book'!$A$5))</f>
        <v>324.3845397580651</v>
      </c>
      <c r="K26" s="28">
        <f>L26-H26-I26-J26</f>
        <v>-88.168516685151559</v>
      </c>
      <c r="L26" s="28">
        <f>851.548338771369*(('2023 IR Data Book'!$A$5))</f>
        <v>231.86525588721042</v>
      </c>
      <c r="M26" s="28">
        <f>-360*(('2023 IR Data Book'!$A$5))</f>
        <v>-98.023198823721614</v>
      </c>
      <c r="N26" s="28">
        <f>-543.672105395049*((('2023 IR Data Book'!$A$5)))</f>
        <v>-148.0346635612506</v>
      </c>
    </row>
    <row r="27" spans="2:17" x14ac:dyDescent="0.2">
      <c r="B27" s="22" t="s">
        <v>46</v>
      </c>
      <c r="C27" s="28">
        <f>0*('2023 IR Data Book'!$A$5)</f>
        <v>0</v>
      </c>
      <c r="D27" s="28">
        <f>0*('2023 IR Data Book'!$A$5)</f>
        <v>0</v>
      </c>
      <c r="E27" s="28">
        <f>31608*('2023 IR Data Book'!$A$5)</f>
        <v>8606.4368567227575</v>
      </c>
      <c r="F27" s="28">
        <f t="shared" si="13"/>
        <v>0</v>
      </c>
      <c r="G27" s="28">
        <f>(31608)*('2023 IR Data Book'!$A$5)</f>
        <v>8606.4368567227575</v>
      </c>
      <c r="H27" s="28">
        <f>800.0869278*('2023 IR Data Book'!$A$5)</f>
        <v>217.85299999999998</v>
      </c>
      <c r="I27" s="28">
        <f>0*('2023 IR Data Book'!$A$5)</f>
        <v>0</v>
      </c>
      <c r="J27" s="28">
        <f>1520.9044572*(('2023 IR Data Book'!$A$5))</f>
        <v>414.12199999999996</v>
      </c>
      <c r="K27" s="28">
        <f>L27-H27-I27-J27</f>
        <v>325.00000000000011</v>
      </c>
      <c r="L27" s="28">
        <f>3514.586385*(('2023 IR Data Book'!$A$5))</f>
        <v>956.97500000000002</v>
      </c>
      <c r="M27" s="28">
        <f>0*('2023 IR Data Book'!$A$5)</f>
        <v>0</v>
      </c>
      <c r="N27" s="28"/>
    </row>
    <row r="28" spans="2:17" ht="15" x14ac:dyDescent="0.25">
      <c r="B28" s="23" t="s">
        <v>47</v>
      </c>
      <c r="C28" s="30">
        <f>C26+C23+C27</f>
        <v>12891.412078636396</v>
      </c>
      <c r="D28" s="30">
        <f>D26+D23+D27</f>
        <v>18037.630016881765</v>
      </c>
      <c r="E28" s="30">
        <f t="shared" ref="E28:G28" si="14">E26+E23+E27</f>
        <v>18690.301149049708</v>
      </c>
      <c r="F28" s="30">
        <f t="shared" si="14"/>
        <v>12489.516963459248</v>
      </c>
      <c r="G28" s="30">
        <f t="shared" si="14"/>
        <v>62108.860208027007</v>
      </c>
      <c r="H28" s="30">
        <f t="shared" ref="H28:N28" si="15">H26+H23+H27</f>
        <v>13011.290989742591</v>
      </c>
      <c r="I28" s="30">
        <f t="shared" si="15"/>
        <v>12249.501029769159</v>
      </c>
      <c r="J28" s="30">
        <f t="shared" si="15"/>
        <v>10761.950376618577</v>
      </c>
      <c r="K28" s="30">
        <f t="shared" si="15"/>
        <v>9009.6319185739849</v>
      </c>
      <c r="L28" s="30">
        <f t="shared" si="15"/>
        <v>45032.374314704422</v>
      </c>
      <c r="M28" s="30">
        <f t="shared" si="15"/>
        <v>6589.8818275881031</v>
      </c>
      <c r="N28" s="30">
        <f t="shared" si="15"/>
        <v>5030.8431525102978</v>
      </c>
      <c r="P28" s="210"/>
      <c r="Q28" s="210"/>
    </row>
    <row r="29" spans="2:17" x14ac:dyDescent="0.2">
      <c r="B29" s="23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</row>
    <row r="30" spans="2:17" x14ac:dyDescent="0.2">
      <c r="B30" s="23" t="s">
        <v>48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2:17" x14ac:dyDescent="0.2">
      <c r="B31" s="27" t="s">
        <v>49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spans="2:17" x14ac:dyDescent="0.2">
      <c r="B32" s="22" t="s">
        <v>50</v>
      </c>
      <c r="C32" s="28">
        <f>40656*('2023 IR Data Book'!$A$5)</f>
        <v>11070.086587158961</v>
      </c>
      <c r="D32" s="28">
        <f>60419*('2023 IR Data Book'!$A$5)</f>
        <v>16451.287915917877</v>
      </c>
      <c r="E32" s="28">
        <f>31350*('2023 IR Data Book'!$A$5)</f>
        <v>8536.1868975657562</v>
      </c>
      <c r="F32" s="28">
        <f t="shared" ref="F32:F33" si="16">G32-C32-D32-E32</f>
        <v>12762.075913521752</v>
      </c>
      <c r="G32" s="28">
        <f>(179295)*('2023 IR Data Book'!$A$5)</f>
        <v>48819.637314164349</v>
      </c>
      <c r="H32" s="28">
        <f>46494.1878882839*('2023 IR Data Book'!$A$5)</f>
        <v>12659.74728755756</v>
      </c>
      <c r="I32" s="28">
        <f>44592.4391410097*('2023 IR Data Book'!$A$5)</f>
        <v>12141.926466538611</v>
      </c>
      <c r="J32" s="28">
        <f>36931.2203883523*(('2023 IR Data Book'!$A$5))</f>
        <v>10055.878774805942</v>
      </c>
      <c r="K32" s="28">
        <f>L32-H32-I32-J32</f>
        <v>8984.0872719874405</v>
      </c>
      <c r="L32" s="28">
        <f>161012.806332747*(('2023 IR Data Book'!$A$5))</f>
        <v>43841.639800889556</v>
      </c>
      <c r="M32" s="28">
        <f>24269*(('2023 IR Data Book'!$A$5))</f>
        <v>6608.1250340358329</v>
      </c>
      <c r="N32" s="28">
        <f>19504.2554196132*((('2023 IR Data Book'!$A$5)))</f>
        <v>5310.7486302927628</v>
      </c>
    </row>
    <row r="33" spans="2:18" x14ac:dyDescent="0.2">
      <c r="B33" s="22" t="s">
        <v>51</v>
      </c>
      <c r="C33" s="28">
        <f>5357*('2023 IR Data Book'!$A$5)</f>
        <v>1458.6396558296574</v>
      </c>
      <c r="D33" s="28">
        <f>5047*('2023 IR Data Book'!$A$5)</f>
        <v>1374.230790175897</v>
      </c>
      <c r="E33" s="28">
        <f>36465*('2023 IR Data Book'!$A$5)</f>
        <v>9928.9331808528004</v>
      </c>
      <c r="F33" s="28">
        <f t="shared" si="16"/>
        <v>-169.63459129771945</v>
      </c>
      <c r="G33" s="28">
        <f>(46246)*('2023 IR Data Book'!$A$5)</f>
        <v>12592.169035560637</v>
      </c>
      <c r="H33" s="28">
        <f>808.109436040245*('2023 IR Data Book'!$A$5)</f>
        <v>220.03742200082911</v>
      </c>
      <c r="I33" s="28">
        <f>-24.0000340264582*('2023 IR Data Book'!$A$5)</f>
        <v>-6.5348891865322107</v>
      </c>
      <c r="J33" s="28">
        <f>2712.23853029947*(('2023 IR Data Book'!$A$5))</f>
        <v>738.50637975806501</v>
      </c>
      <c r="K33" s="28">
        <f>L33-H33-I33-J33</f>
        <v>236.8314833148487</v>
      </c>
      <c r="L33" s="28">
        <f>4366.13523793537*(('2023 IR Data Book'!$A$5))</f>
        <v>1188.8403958872107</v>
      </c>
      <c r="M33" s="28">
        <f>-360*(('2023 IR Data Book'!$A$5))</f>
        <v>-98.023198823721614</v>
      </c>
      <c r="N33" s="28">
        <f>-543.672178847049*((('2023 IR Data Book'!$A$5)))</f>
        <v>-148.03468356125063</v>
      </c>
    </row>
    <row r="34" spans="2:18" ht="15" x14ac:dyDescent="0.25">
      <c r="B34" s="22"/>
      <c r="C34" s="30">
        <f>SUM(C32:C33)</f>
        <v>12528.726242988618</v>
      </c>
      <c r="D34" s="30">
        <f>SUM(D32:D33)</f>
        <v>17825.518706093775</v>
      </c>
      <c r="E34" s="30">
        <f t="shared" ref="E34:G34" si="17">SUM(E32:E33)</f>
        <v>18465.120078418557</v>
      </c>
      <c r="F34" s="30">
        <f t="shared" si="17"/>
        <v>12592.441322224033</v>
      </c>
      <c r="G34" s="30">
        <f t="shared" si="17"/>
        <v>61411.806349724982</v>
      </c>
      <c r="H34" s="30">
        <f t="shared" ref="H34:N34" si="18">SUM(H32:H33)</f>
        <v>12879.784709558389</v>
      </c>
      <c r="I34" s="30">
        <f t="shared" si="18"/>
        <v>12135.391577352078</v>
      </c>
      <c r="J34" s="30">
        <f t="shared" si="18"/>
        <v>10794.385154564006</v>
      </c>
      <c r="K34" s="30">
        <f t="shared" si="18"/>
        <v>9220.9187553022894</v>
      </c>
      <c r="L34" s="30">
        <f t="shared" si="18"/>
        <v>45030.480196776763</v>
      </c>
      <c r="M34" s="30">
        <f t="shared" si="18"/>
        <v>6510.1018352121109</v>
      </c>
      <c r="N34" s="30">
        <f t="shared" si="18"/>
        <v>5162.7139467315119</v>
      </c>
      <c r="P34" s="210"/>
      <c r="Q34" s="210"/>
    </row>
    <row r="35" spans="2:18" x14ac:dyDescent="0.2">
      <c r="B35" s="27" t="s">
        <v>52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P35" s="2"/>
      <c r="Q35" s="2"/>
      <c r="R35" s="2"/>
    </row>
    <row r="36" spans="2:18" x14ac:dyDescent="0.2">
      <c r="B36" s="22" t="s">
        <v>53</v>
      </c>
      <c r="C36" s="28">
        <f>794*('2023 IR Data Book'!$A$5)</f>
        <v>216.19561073898601</v>
      </c>
      <c r="D36" s="28">
        <f>394*('2023 IR Data Book'!$A$5)</f>
        <v>107.28094537929532</v>
      </c>
      <c r="E36" s="28">
        <f>647*('2023 IR Data Book'!$A$5)</f>
        <v>176.16947121929968</v>
      </c>
      <c r="F36" s="28">
        <f t="shared" ref="F36:F37" si="19">G36-C36-D36-E36</f>
        <v>-102.92435876490769</v>
      </c>
      <c r="G36" s="28">
        <f>1457*('2023 IR Data Book'!$A$5)</f>
        <v>396.72166857267331</v>
      </c>
      <c r="H36" s="28">
        <f>482.969964602641*('2023 IR Data Book'!$A$5)</f>
        <v>131.50628018369574</v>
      </c>
      <c r="I36" s="28">
        <f>420*('2023 IR Data Book'!$A$5)</f>
        <v>114.36039862767521</v>
      </c>
      <c r="J36" s="28">
        <f>-119.121592951046*(('2023 IR Data Book'!$A$5))</f>
        <v>-32.435221083441157</v>
      </c>
      <c r="K36" s="28">
        <f>L36-H36-I36-J36</f>
        <v>-211.53763197581196</v>
      </c>
      <c r="L36" s="28">
        <f>6.95526445722799*(('2023 IR Data Book'!$A$5))</f>
        <v>1.893825752117843</v>
      </c>
      <c r="M36" s="28">
        <f>293*(('2023 IR Data Book'!$A$5))</f>
        <v>79.779992375973421</v>
      </c>
      <c r="N36" s="28">
        <f>-484.30867885866*((('2023 IR Data Book'!$A$5)))</f>
        <v>-131.87079422171215</v>
      </c>
    </row>
    <row r="37" spans="2:18" x14ac:dyDescent="0.2">
      <c r="B37" s="22" t="s">
        <v>54</v>
      </c>
      <c r="C37" s="28">
        <f>538*('2023 IR Data Book'!$A$5)</f>
        <v>146.49022490878397</v>
      </c>
      <c r="D37" s="28">
        <f>385*('2023 IR Data Book'!$A$5)</f>
        <v>104.83036540870228</v>
      </c>
      <c r="E37" s="28">
        <f>180*('2023 IR Data Book'!$A$5)</f>
        <v>49.011599411860807</v>
      </c>
      <c r="F37" s="28">
        <f t="shared" si="19"/>
        <v>0</v>
      </c>
      <c r="G37" s="28">
        <f>(1103)*('2023 IR Data Book'!$A$5)</f>
        <v>300.33218972934702</v>
      </c>
      <c r="H37" s="28">
        <f>0*('2023 IR Data Book'!$A$5)</f>
        <v>0</v>
      </c>
      <c r="I37" s="28">
        <f>0*('2023 IR Data Book'!$A$5)</f>
        <v>0</v>
      </c>
      <c r="J37" s="28">
        <f>0*(('2023 IR Data Book'!$A$5))</f>
        <v>0</v>
      </c>
      <c r="K37" s="28">
        <f>L37-H37-I37-J37</f>
        <v>0</v>
      </c>
      <c r="L37" s="28">
        <f>0*(('2023 IR Data Book'!$A$5))</f>
        <v>0</v>
      </c>
      <c r="M37" s="28">
        <f>0*(('2023 IR Data Book'!$A$5))</f>
        <v>0</v>
      </c>
      <c r="N37" s="28">
        <f>0*((('2023 IR Data Book'!$A$5)))</f>
        <v>0</v>
      </c>
    </row>
    <row r="38" spans="2:18" ht="15" x14ac:dyDescent="0.25">
      <c r="B38" s="23"/>
      <c r="C38" s="30">
        <f>SUM(C36:C37)</f>
        <v>362.68583564776998</v>
      </c>
      <c r="D38" s="30">
        <f>SUM(D36:D37)</f>
        <v>212.11131078799758</v>
      </c>
      <c r="E38" s="30">
        <f t="shared" ref="E38:G38" si="20">SUM(E36:E37)</f>
        <v>225.18107063116048</v>
      </c>
      <c r="F38" s="30">
        <f t="shared" si="20"/>
        <v>-102.92435876490769</v>
      </c>
      <c r="G38" s="30">
        <f t="shared" si="20"/>
        <v>697.05385830202033</v>
      </c>
      <c r="H38" s="30">
        <f t="shared" ref="H38:N38" si="21">SUM(H36:H37)</f>
        <v>131.50628018369574</v>
      </c>
      <c r="I38" s="30">
        <f t="shared" si="21"/>
        <v>114.36039862767521</v>
      </c>
      <c r="J38" s="30">
        <f t="shared" si="21"/>
        <v>-32.435221083441157</v>
      </c>
      <c r="K38" s="30">
        <f t="shared" si="21"/>
        <v>-211.53763197581196</v>
      </c>
      <c r="L38" s="30">
        <f t="shared" si="21"/>
        <v>1.893825752117843</v>
      </c>
      <c r="M38" s="30">
        <f t="shared" si="21"/>
        <v>79.779992375973421</v>
      </c>
      <c r="N38" s="30">
        <f t="shared" si="21"/>
        <v>-131.87079422171215</v>
      </c>
    </row>
    <row r="39" spans="2:18" x14ac:dyDescent="0.2">
      <c r="B39" s="23"/>
    </row>
    <row r="40" spans="2:18" x14ac:dyDescent="0.2">
      <c r="B40" s="23" t="s">
        <v>55</v>
      </c>
    </row>
    <row r="41" spans="2:18" x14ac:dyDescent="0.2">
      <c r="B41" s="22" t="s">
        <v>56</v>
      </c>
      <c r="C41" s="31">
        <f>C32*1000/1464100000</f>
        <v>7.5610180910859652E-3</v>
      </c>
      <c r="D41" s="31">
        <f>D32*1000/1464100000</f>
        <v>1.1236451004656702E-2</v>
      </c>
      <c r="E41" s="31">
        <f t="shared" ref="E41:G41" si="22">E32*1000/1464100000</f>
        <v>5.8303305085484298E-3</v>
      </c>
      <c r="F41" s="31">
        <f t="shared" ref="F41" si="23">F32*1000/1464100000</f>
        <v>8.716669567325832E-3</v>
      </c>
      <c r="G41" s="31">
        <f t="shared" si="22"/>
        <v>3.3344469171616931E-2</v>
      </c>
      <c r="H41" s="31">
        <f t="shared" ref="H41:J42" si="24">H32*1000/1464100000</f>
        <v>8.6467777389232711E-3</v>
      </c>
      <c r="I41" s="31">
        <f t="shared" si="24"/>
        <v>8.2930991506991389E-3</v>
      </c>
      <c r="J41" s="31">
        <f t="shared" si="24"/>
        <v>6.8683005087124801E-3</v>
      </c>
      <c r="K41" s="31">
        <f t="shared" ref="K41:L41" si="25">K32*1000/1464100000</f>
        <v>6.1362524909414932E-3</v>
      </c>
      <c r="L41" s="31">
        <f t="shared" si="25"/>
        <v>2.9944429889276387E-2</v>
      </c>
      <c r="M41" s="31">
        <f>M32*1000/1464100000</f>
        <v>4.5134383129812397E-3</v>
      </c>
      <c r="N41" s="31">
        <f>N32*1000/1464100000</f>
        <v>3.6273127725515763E-3</v>
      </c>
    </row>
    <row r="42" spans="2:18" x14ac:dyDescent="0.2">
      <c r="B42" s="22" t="s">
        <v>57</v>
      </c>
      <c r="C42" s="31">
        <f>C33*1000/1464100000</f>
        <v>9.9627051146073168E-4</v>
      </c>
      <c r="D42" s="31">
        <f>D33*1000/1464100000</f>
        <v>9.386181204671109E-4</v>
      </c>
      <c r="E42" s="31">
        <f t="shared" ref="E42:G42" si="26">E33*1000/1464100000</f>
        <v>6.7815949599431737E-3</v>
      </c>
      <c r="F42" s="31">
        <f t="shared" ref="F42" si="27">F33*1000/1464100000</f>
        <v>-1.1586270835169692E-4</v>
      </c>
      <c r="G42" s="31">
        <f t="shared" si="26"/>
        <v>8.6006208835193217E-3</v>
      </c>
      <c r="H42" s="31">
        <f t="shared" si="24"/>
        <v>1.502885199104085E-4</v>
      </c>
      <c r="I42" s="31">
        <f t="shared" si="24"/>
        <v>-4.4634172437212014E-6</v>
      </c>
      <c r="J42" s="31">
        <f t="shared" si="24"/>
        <v>5.0440979424770508E-4</v>
      </c>
      <c r="K42" s="31">
        <f t="shared" ref="K42:M42" si="28">K33*1000/1464100000</f>
        <v>1.6175908975810991E-4</v>
      </c>
      <c r="L42" s="31">
        <f t="shared" si="28"/>
        <v>8.1199398667250238E-4</v>
      </c>
      <c r="M42" s="31">
        <f t="shared" si="28"/>
        <v>-6.6951163734527432E-5</v>
      </c>
      <c r="N42" s="31">
        <f t="shared" ref="N42" si="29">N33*1000/1464100000</f>
        <v>-1.0110968073304462E-4</v>
      </c>
    </row>
    <row r="46" spans="2:18" x14ac:dyDescent="0.2">
      <c r="B46" s="176" t="s">
        <v>58</v>
      </c>
      <c r="C46" s="177">
        <v>2017</v>
      </c>
      <c r="D46" s="177">
        <v>2018</v>
      </c>
      <c r="E46" s="177">
        <v>2019</v>
      </c>
      <c r="F46" s="177">
        <v>2020</v>
      </c>
      <c r="G46" s="177">
        <v>2021</v>
      </c>
      <c r="H46" s="177">
        <v>2022</v>
      </c>
    </row>
    <row r="47" spans="2:18" x14ac:dyDescent="0.2">
      <c r="B47" s="65" t="s">
        <v>59</v>
      </c>
      <c r="C47" s="2">
        <v>0.16299979509596338</v>
      </c>
      <c r="D47" s="2">
        <v>0.16500034150672768</v>
      </c>
      <c r="E47" s="2">
        <v>0.16500000000885801</v>
      </c>
      <c r="F47" s="2">
        <v>0.13000000000697903</v>
      </c>
      <c r="G47" s="2">
        <v>0.13</v>
      </c>
      <c r="H47" s="2">
        <v>9.5334933401070077E-2</v>
      </c>
    </row>
    <row r="48" spans="2:18" x14ac:dyDescent="0.2">
      <c r="B48" s="65" t="s">
        <v>60</v>
      </c>
      <c r="C48" s="2">
        <v>0.54811333971828136</v>
      </c>
      <c r="D48" s="2">
        <v>0.49037725699554435</v>
      </c>
      <c r="E48" s="2">
        <v>0.48567852837348008</v>
      </c>
      <c r="F48" s="2">
        <v>0.71378800837877832</v>
      </c>
      <c r="G48" s="2">
        <v>0.84389534501584196</v>
      </c>
      <c r="H48" s="2">
        <v>0.84400000000000008</v>
      </c>
    </row>
    <row r="49" spans="2:8" x14ac:dyDescent="0.2">
      <c r="B49" s="23" t="s">
        <v>61</v>
      </c>
      <c r="C49" s="203">
        <v>0.16299999999999998</v>
      </c>
      <c r="D49" s="203">
        <v>0.16500000000000001</v>
      </c>
      <c r="E49" s="203">
        <v>0.16500000000000001</v>
      </c>
      <c r="F49" s="203">
        <v>0.13</v>
      </c>
      <c r="G49" s="20">
        <v>0.13</v>
      </c>
      <c r="H49" s="31">
        <v>9.5334933401070077E-2</v>
      </c>
    </row>
  </sheetData>
  <pageMargins left="0.7" right="0.7" top="0.75" bottom="0.75" header="0.3" footer="0.3"/>
  <pageSetup orientation="portrait" horizontalDpi="1200" verticalDpi="1200" r:id="rId1"/>
  <ignoredErrors>
    <ignoredError sqref="G6 L6" numberStoredAsText="1"/>
    <ignoredError sqref="F10 K10 K21 K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21968-C066-4BF5-942F-94C954F964D1}">
  <dimension ref="A1:M62"/>
  <sheetViews>
    <sheetView showGridLines="0" workbookViewId="0">
      <pane xSplit="2" ySplit="6" topLeftCell="C7" activePane="bottomRight" state="frozen"/>
      <selection pane="topRight" activeCell="P28" sqref="P28"/>
      <selection pane="bottomLeft" activeCell="P28" sqref="P28"/>
      <selection pane="bottomRight" activeCell="B61" sqref="B61"/>
    </sheetView>
  </sheetViews>
  <sheetFormatPr defaultColWidth="9.140625" defaultRowHeight="12.75" x14ac:dyDescent="0.2"/>
  <cols>
    <col min="1" max="1" width="5.7109375" style="20" customWidth="1"/>
    <col min="2" max="2" width="52.85546875" style="20" customWidth="1"/>
    <col min="3" max="12" width="9.85546875" style="20" bestFit="1" customWidth="1"/>
    <col min="13" max="13" width="11.28515625" style="2" bestFit="1" customWidth="1"/>
    <col min="14" max="16384" width="9.140625" style="20"/>
  </cols>
  <sheetData>
    <row r="1" spans="1:12" x14ac:dyDescent="0.2">
      <c r="A1" s="162">
        <f>'2023 IR Data Book'!$A$5</f>
        <v>0.27228666339922669</v>
      </c>
    </row>
    <row r="2" spans="1:12" ht="15.75" x14ac:dyDescent="0.25">
      <c r="B2" s="129" t="s">
        <v>62</v>
      </c>
    </row>
    <row r="5" spans="1:12" ht="15" x14ac:dyDescent="0.25">
      <c r="B5" s="21" t="s">
        <v>63</v>
      </c>
      <c r="C5" s="168" t="s">
        <v>64</v>
      </c>
      <c r="D5" s="168" t="s">
        <v>65</v>
      </c>
      <c r="E5" s="168" t="s">
        <v>66</v>
      </c>
      <c r="F5" s="168" t="s">
        <v>67</v>
      </c>
      <c r="G5" s="168" t="s">
        <v>68</v>
      </c>
      <c r="H5" s="168" t="s">
        <v>69</v>
      </c>
      <c r="I5" s="168" t="s">
        <v>261</v>
      </c>
      <c r="J5" s="168" t="s">
        <v>275</v>
      </c>
      <c r="K5" s="168" t="s">
        <v>282</v>
      </c>
      <c r="L5" s="168" t="s">
        <v>298</v>
      </c>
    </row>
    <row r="6" spans="1:12" ht="15" x14ac:dyDescent="0.25">
      <c r="B6" s="21" t="s">
        <v>70</v>
      </c>
    </row>
    <row r="7" spans="1:12" x14ac:dyDescent="0.2">
      <c r="B7" s="20" t="s">
        <v>71</v>
      </c>
      <c r="C7" s="28">
        <f>957925*('2023 IR Data Book'!$A$5)</f>
        <v>260830.20203670423</v>
      </c>
      <c r="D7" s="28">
        <f>963437*('2023 IR Data Book'!$A$5)</f>
        <v>262331.04612536076</v>
      </c>
      <c r="E7" s="28">
        <f>980472*('2023 IR Data Book'!$A$5)</f>
        <v>266969.44943636662</v>
      </c>
      <c r="F7" s="28">
        <f>941430*('2023 IR Data Book'!$A$5)</f>
        <v>256338.83352393398</v>
      </c>
      <c r="G7" s="28">
        <f>918236*('2023 IR Data Book'!$A$5)</f>
        <v>250023.41665305232</v>
      </c>
      <c r="H7" s="28">
        <f>894104.544664551*('2023 IR Data Book'!$A$5)</f>
        <v>243452.74319679546</v>
      </c>
      <c r="I7" s="28">
        <f>866980.218712385*(('2023 IR Data Book'!$A$5))</f>
        <v>236067.15098632712</v>
      </c>
      <c r="J7" s="28">
        <f>883697.465735762*(('2023 IR Data Book'!$A$5))</f>
        <v>240619.0343995431</v>
      </c>
      <c r="K7" s="28">
        <f>864981*(('2023 IR Data Book'!$A$5))</f>
        <v>235522.79039372649</v>
      </c>
      <c r="L7" s="28">
        <f>878750.869404297*((('2023 IR Data Book'!$A$5)))</f>
        <v>239272.14218926564</v>
      </c>
    </row>
    <row r="8" spans="1:12" x14ac:dyDescent="0.2">
      <c r="B8" s="20" t="s">
        <v>72</v>
      </c>
      <c r="C8" s="28">
        <f>862334*('2023 IR Data Book'!$A$5)</f>
        <v>234802.04759570875</v>
      </c>
      <c r="D8" s="28">
        <f>910988*('2023 IR Data Book'!$A$5)</f>
        <v>248049.88291673473</v>
      </c>
      <c r="E8" s="28">
        <f>956865*('2023 IR Data Book'!$A$5)</f>
        <v>260541.57817350104</v>
      </c>
      <c r="F8" s="28">
        <f>894266*('2023 IR Data Book'!$A$5)</f>
        <v>243496.70533137285</v>
      </c>
      <c r="G8" s="28">
        <f>890902*('2023 IR Data Book'!$A$5)</f>
        <v>242580.73299569785</v>
      </c>
      <c r="H8" s="28">
        <f>921554.993062863*('2023 IR Data Book'!$A$5)</f>
        <v>250927.13419998446</v>
      </c>
      <c r="I8" s="28">
        <f>894136.917651471*(('2023 IR Data Book'!$A$5))</f>
        <v>243461.55792938816</v>
      </c>
      <c r="J8" s="28">
        <f>860524.41295994*(('2023 IR Data Book'!$A$5))</f>
        <v>234309.32117844032</v>
      </c>
      <c r="K8" s="28">
        <f>907905*(('2023 IR Data Book'!$A$5))</f>
        <v>247210.42313347492</v>
      </c>
      <c r="L8" s="28">
        <f>880398.691638888*((('2023 IR Data Book'!$A$5)))</f>
        <v>239720.82220739746</v>
      </c>
    </row>
    <row r="9" spans="1:12" x14ac:dyDescent="0.2">
      <c r="B9" s="20" t="s">
        <v>73</v>
      </c>
      <c r="C9" s="28">
        <f>1135511*('2023 IR Data Book'!$A$5)</f>
        <v>309184.50144311931</v>
      </c>
      <c r="D9" s="28">
        <f>1140170*('2023 IR Data Book'!$A$5)</f>
        <v>310453.0850078963</v>
      </c>
      <c r="E9" s="28">
        <f>1031265*('2023 IR Data Book'!$A$5)</f>
        <v>280799.70593040349</v>
      </c>
      <c r="F9" s="28">
        <f>1002568*('2023 IR Data Book'!$A$5)</f>
        <v>272985.89555083588</v>
      </c>
      <c r="G9" s="28">
        <f>1002568*('2023 IR Data Book'!$A$5)</f>
        <v>272985.89555083588</v>
      </c>
      <c r="H9" s="28">
        <f>1002568.07593687*('2023 IR Data Book'!$A$5)</f>
        <v>272985.91622743284</v>
      </c>
      <c r="I9" s="28">
        <f>1002568.07589721*(('2023 IR Data Book'!$A$5))</f>
        <v>272985.91621663398</v>
      </c>
      <c r="J9" s="28">
        <f>1757680.58612402*(('2023 IR Data Book'!$A$5))</f>
        <v>478592.9821173065</v>
      </c>
      <c r="K9" s="28">
        <f>1757680*(('2023 IR Data Book'!$A$5))</f>
        <v>478592.82252355275</v>
      </c>
      <c r="L9" s="28">
        <f>1757680.00004428*((('2023 IR Data Book'!$A$5)))</f>
        <v>478592.82253560994</v>
      </c>
    </row>
    <row r="10" spans="1:12" x14ac:dyDescent="0.2">
      <c r="B10" s="20" t="s">
        <v>74</v>
      </c>
      <c r="C10" s="28">
        <f>214565*('2023 IR Data Book'!$A$5)</f>
        <v>58423.187932255074</v>
      </c>
      <c r="D10" s="28">
        <f>212727*('2023 IR Data Book'!$A$5)</f>
        <v>57922.725044927298</v>
      </c>
      <c r="E10" s="28">
        <f>212034*('2023 IR Data Book'!$A$5)</f>
        <v>57734.030387191633</v>
      </c>
      <c r="F10" s="28">
        <f>201255*('2023 IR Data Book'!$A$5)</f>
        <v>54799.052442411368</v>
      </c>
      <c r="G10" s="28">
        <f>200563*('2023 IR Data Book'!$A$5)</f>
        <v>54610.630071339103</v>
      </c>
      <c r="H10" s="28">
        <f>199872.416294696*('2023 IR Data Book'!$A$5)</f>
        <v>54422.593338424005</v>
      </c>
      <c r="I10" s="28">
        <f>199184.256569187*(('2023 IR Data Book'!$A$5))</f>
        <v>54235.21662287943</v>
      </c>
      <c r="J10" s="28">
        <f>324361.667538301*(('2023 IR Data Book'!$A$5))</f>
        <v>88319.356188613237</v>
      </c>
      <c r="K10" s="28">
        <f>320964*(('2023 IR Data Book'!$A$5))</f>
        <v>87394.216631269403</v>
      </c>
      <c r="L10" s="28">
        <f>317576.786571321*((('2023 IR Data Book'!$A$5)))</f>
        <v>86471.923588553444</v>
      </c>
    </row>
    <row r="11" spans="1:12" x14ac:dyDescent="0.2">
      <c r="B11" s="20" t="s">
        <v>75</v>
      </c>
      <c r="C11" s="28">
        <f>37815*('2023 IR Data Book'!$A$5)</f>
        <v>10296.520176441758</v>
      </c>
      <c r="D11" s="28">
        <f>42848*('2023 IR Data Book'!$A$5)</f>
        <v>11666.938953330065</v>
      </c>
      <c r="E11" s="28">
        <f>35984*('2023 IR Data Book'!$A$5)</f>
        <v>9797.9632957577742</v>
      </c>
      <c r="F11" s="28">
        <f>37448.2731596125*('2023 IR Data Book'!$A$5)</f>
        <v>10196.665348693705</v>
      </c>
      <c r="G11" s="28">
        <f>40904*('2023 IR Data Book'!$A$5)</f>
        <v>11137.613679681968</v>
      </c>
      <c r="H11" s="28">
        <f>34374.6759942848*('2023 IR Data Book'!$A$5)</f>
        <v>9359.7658319133043</v>
      </c>
      <c r="I11" s="28">
        <f>33022.3487900181*(('2023 IR Data Book'!$A$5))</f>
        <v>8991.5451696395194</v>
      </c>
      <c r="J11" s="28">
        <f>24961.1986367492*(('2023 IR Data Book'!$A$5))</f>
        <v>6796.6014912457649</v>
      </c>
      <c r="K11" s="28">
        <f>25531*(('2023 IR Data Book'!$A$5))</f>
        <v>6951.7508032456562</v>
      </c>
      <c r="L11" s="28">
        <f>36927.6476736312*((('2023 IR Data Book'!$A$5)))</f>
        <v>10054.905972235256</v>
      </c>
    </row>
    <row r="12" spans="1:12" ht="25.5" x14ac:dyDescent="0.2">
      <c r="B12" s="35" t="s">
        <v>76</v>
      </c>
      <c r="C12" s="28">
        <f>23546*('2023 IR Data Book'!$A$5)</f>
        <v>6411.2617763981916</v>
      </c>
      <c r="D12" s="28">
        <f>23522*('2023 IR Data Book'!$A$5)</f>
        <v>6404.7268964766099</v>
      </c>
      <c r="E12" s="28">
        <f>17244*('2023 IR Data Book'!$A$5)</f>
        <v>4695.3112236562647</v>
      </c>
      <c r="F12" s="28">
        <f>17638*('2023 IR Data Book'!$A$5)</f>
        <v>4802.5921690355608</v>
      </c>
      <c r="G12" s="28">
        <f>17772*('2023 IR Data Book'!$A$5)</f>
        <v>4839.0785819310568</v>
      </c>
      <c r="H12" s="28">
        <f>17613.6880596444*('2023 IR Data Book'!$A$5)</f>
        <v>4795.9723519153731</v>
      </c>
      <c r="I12" s="28">
        <f>17566.1948018073*(('2023 IR Data Book'!$A$5))</f>
        <v>4783.0405712049505</v>
      </c>
      <c r="J12" s="28">
        <f>17666.6902792616*(('2023 IR Data Book'!$A$5))</f>
        <v>4810.4041494476933</v>
      </c>
      <c r="K12" s="28">
        <f>17659*(('2023 IR Data Book'!$A$5))</f>
        <v>4808.3101889669442</v>
      </c>
      <c r="L12" s="28">
        <f>17647.0119707624*((('2023 IR Data Book'!$A$5)))</f>
        <v>4805.0460084850938</v>
      </c>
    </row>
    <row r="13" spans="1:12" x14ac:dyDescent="0.2">
      <c r="B13" s="35" t="s">
        <v>77</v>
      </c>
      <c r="C13" s="28">
        <f>7588*('2023 IR Data Book'!$A$5)</f>
        <v>2066.111201873332</v>
      </c>
      <c r="D13" s="28">
        <f>7601*('2023 IR Data Book'!$A$5)</f>
        <v>2069.6509284975223</v>
      </c>
      <c r="E13" s="28">
        <f>7275*('2023 IR Data Book'!$A$5)</f>
        <v>1980.8854762293743</v>
      </c>
      <c r="F13" s="28">
        <f>8006*('2023 IR Data Book'!$A$5)</f>
        <v>2179.9270271742089</v>
      </c>
      <c r="G13" s="28">
        <f>7971*('2023 IR Data Book'!$A$5)</f>
        <v>2170.3969939552358</v>
      </c>
      <c r="H13" s="28">
        <f>21150.4841613572*('2023 IR Data Book'!$A$5)</f>
        <v>5758.994761574143</v>
      </c>
      <c r="I13" s="28">
        <f>21022.0845693825*(('2023 IR Data Book'!$A$5))</f>
        <v>5724.0332650935297</v>
      </c>
      <c r="J13" s="28">
        <f>28134.9003685037*(('2023 IR Data Book'!$A$5))</f>
        <v>7660.7581464095456</v>
      </c>
      <c r="K13" s="28">
        <f>27859*(('2023 IR Data Book'!$A$5))</f>
        <v>7585.6341556390562</v>
      </c>
      <c r="L13" s="28">
        <f>26361.7873087616*((('2023 IR Data Book'!$A$5)))</f>
        <v>7177.9631075427724</v>
      </c>
    </row>
    <row r="14" spans="1:12" x14ac:dyDescent="0.2">
      <c r="B14" s="20" t="s">
        <v>78</v>
      </c>
      <c r="C14" s="28">
        <f>4572*('2023 IR Data Book'!$A$5)</f>
        <v>1244.8946250612644</v>
      </c>
      <c r="D14" s="28">
        <f>3834*('2023 IR Data Book'!$A$5)</f>
        <v>1043.9470674726351</v>
      </c>
      <c r="E14" s="28">
        <f>3700*('2023 IR Data Book'!$A$5)</f>
        <v>1007.4606545771387</v>
      </c>
      <c r="F14" s="28">
        <f>4115*('2023 IR Data Book'!$A$5)</f>
        <v>1120.4596198878178</v>
      </c>
      <c r="G14" s="28">
        <f>4099*('2023 IR Data Book'!$A$5)</f>
        <v>1116.1030332734301</v>
      </c>
      <c r="H14" s="28">
        <f>3531.41643549816*('2023 IR Data Book'!$A$5)</f>
        <v>961.55759829498436</v>
      </c>
      <c r="I14" s="28">
        <f>3394.74308190623*(('2023 IR Data Book'!$A$5))</f>
        <v>924.34326686985514</v>
      </c>
      <c r="J14" s="28">
        <f>5911.92045683834*(('2023 IR Data Book'!$A$5))</f>
        <v>1609.7370954741436</v>
      </c>
      <c r="K14" s="28">
        <f>5536*(('2023 IR Data Book'!$A$5))</f>
        <v>1507.3789685781189</v>
      </c>
      <c r="L14" s="28">
        <f>5808.94293753516*((('2023 IR Data Book'!$A$5)))</f>
        <v>1581.6976903379521</v>
      </c>
    </row>
    <row r="15" spans="1:12" ht="15.75" thickBot="1" x14ac:dyDescent="0.3">
      <c r="C15" s="36">
        <f t="shared" ref="C15:E15" si="0">SUM(C7:C14)</f>
        <v>883258.7267875619</v>
      </c>
      <c r="D15" s="36">
        <f t="shared" si="0"/>
        <v>899942.00294069585</v>
      </c>
      <c r="E15" s="36">
        <f t="shared" si="0"/>
        <v>883526.38457768341</v>
      </c>
      <c r="F15" s="36">
        <f t="shared" ref="F15:K15" si="1">SUM(F7:F14)</f>
        <v>845920.13101334544</v>
      </c>
      <c r="G15" s="36">
        <f t="shared" si="1"/>
        <v>839463.86755976698</v>
      </c>
      <c r="H15" s="36">
        <f t="shared" si="1"/>
        <v>842664.67750633461</v>
      </c>
      <c r="I15" s="36">
        <f t="shared" si="1"/>
        <v>827172.80402803665</v>
      </c>
      <c r="J15" s="36">
        <f t="shared" si="1"/>
        <v>1062718.1947664802</v>
      </c>
      <c r="K15" s="36">
        <f t="shared" si="1"/>
        <v>1069573.3267984532</v>
      </c>
      <c r="L15" s="36">
        <f t="shared" ref="L15" si="2">SUM(L7:L14)</f>
        <v>1067677.3232994277</v>
      </c>
    </row>
    <row r="16" spans="1:12" ht="15" x14ac:dyDescent="0.25">
      <c r="B16" s="21" t="s">
        <v>79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3" x14ac:dyDescent="0.2">
      <c r="B17" s="20" t="s">
        <v>80</v>
      </c>
      <c r="C17" s="28">
        <f>1072585*('2023 IR Data Book'!$A$5)</f>
        <v>292050.59086205956</v>
      </c>
      <c r="D17" s="28">
        <f>1142044*('2023 IR Data Book'!$A$5)</f>
        <v>310963.35021510645</v>
      </c>
      <c r="E17" s="28">
        <f>1076168*('2023 IR Data Book'!$A$5)</f>
        <v>293026.19397701899</v>
      </c>
      <c r="F17" s="28">
        <f>1219422*('2023 IR Data Book'!$A$5)</f>
        <v>332032.34765561181</v>
      </c>
      <c r="G17" s="28">
        <f>1164185*('2023 IR Data Book'!$A$5)</f>
        <v>316992.04922942875</v>
      </c>
      <c r="H17" s="28">
        <f>1144011.21590874*('2023 IR Data Book'!$A$5)</f>
        <v>311498.9968710831</v>
      </c>
      <c r="I17" s="28">
        <f>1095736.37086374*(('2023 IR Data Book'!$A$5))</f>
        <v>298354.40038766543</v>
      </c>
      <c r="J17" s="28">
        <f>1130410.06190824*(('2023 IR Data Book'!$A$5))</f>
        <v>307795.58402990794</v>
      </c>
      <c r="K17" s="28">
        <f>1113713*(('2023 IR Data Book'!$A$5))</f>
        <v>303249.19675434293</v>
      </c>
      <c r="L17" s="28">
        <f>1085002.77513823*((('2023 IR Data Book'!$A$5)))</f>
        <v>295431.78542129009</v>
      </c>
    </row>
    <row r="18" spans="2:13" x14ac:dyDescent="0.2">
      <c r="B18" s="20" t="s">
        <v>81</v>
      </c>
      <c r="C18" s="28">
        <f>296178*('2023 IR Data Book'!$A$5)</f>
        <v>80645.319392256162</v>
      </c>
      <c r="D18" s="28">
        <f>305444*('2023 IR Data Book'!$A$5)</f>
        <v>83168.327615313392</v>
      </c>
      <c r="E18" s="28">
        <f>353365*('2023 IR Data Book'!$A$5)</f>
        <v>96216.576812067739</v>
      </c>
      <c r="F18" s="28">
        <f>293709*('2023 IR Data Book'!$A$5)</f>
        <v>79973.043620323471</v>
      </c>
      <c r="G18" s="28">
        <f>310784*('2023 IR Data Book'!$A$5)</f>
        <v>84622.338397865271</v>
      </c>
      <c r="H18" s="28">
        <f>312682.133407311*('2023 IR Data Book'!$A$5)</f>
        <v>85139.174810028577</v>
      </c>
      <c r="I18" s="28">
        <f>270662.67988231*(('2023 IR Data Book'!$A$5))</f>
        <v>73697.838011847183</v>
      </c>
      <c r="J18" s="28">
        <f>284145.951605867*(('2023 IR Data Book'!$A$5))</f>
        <v>77369.153081159675</v>
      </c>
      <c r="K18" s="28">
        <f>271031*(('2023 IR Data Book'!$A$5))</f>
        <v>73798.126667755816</v>
      </c>
      <c r="L18" s="28">
        <f>267830.967387719*((('2023 IR Data Book'!$A$5)))</f>
        <v>72926.800464989181</v>
      </c>
      <c r="M18" s="83"/>
    </row>
    <row r="19" spans="2:13" x14ac:dyDescent="0.2">
      <c r="B19" s="20" t="s">
        <v>82</v>
      </c>
      <c r="C19" s="28">
        <f>251949*('2023 IR Data Book'!$A$5)</f>
        <v>68602.352556771759</v>
      </c>
      <c r="D19" s="28">
        <f>61854*('2023 IR Data Book'!$A$5)</f>
        <v>16842.019277895768</v>
      </c>
      <c r="E19" s="28">
        <f>372533*('2023 IR Data Book'!$A$5)</f>
        <v>101435.76757610412</v>
      </c>
      <c r="F19" s="28">
        <f>57641*('2023 IR Data Book'!$A$5)</f>
        <v>15694.875564994825</v>
      </c>
      <c r="G19" s="28">
        <f>57972*('2023 IR Data Book'!$A$5)</f>
        <v>15785.00245057997</v>
      </c>
      <c r="H19" s="28">
        <f>10502.4383133088*('2023 IR Data Book'!$A$5)</f>
        <v>2859.6738858870553</v>
      </c>
      <c r="I19" s="28">
        <f>10683.5332031424*(('2023 IR Data Book'!$A$5))</f>
        <v>2908.9836091984971</v>
      </c>
      <c r="J19" s="28">
        <f>9488.2925181047*(('2023 IR Data Book'!$A$5))</f>
        <v>2583.5355111105755</v>
      </c>
      <c r="K19" s="28">
        <f>9612*(('2023 IR Data Book'!$A$5))</f>
        <v>2617.219408593367</v>
      </c>
      <c r="L19" s="28">
        <f>9494.27456452583*((('2023 IR Data Book'!$A$5)))</f>
        <v>2585.1643425708839</v>
      </c>
      <c r="M19" s="83"/>
    </row>
    <row r="20" spans="2:13" x14ac:dyDescent="0.2">
      <c r="B20" s="20" t="s">
        <v>83</v>
      </c>
      <c r="C20" s="28">
        <f>798722*('2023 IR Data Book'!$A$5)</f>
        <v>217481.34836355713</v>
      </c>
      <c r="D20" s="28">
        <f>842966*('2023 IR Data Book'!$A$5)</f>
        <v>229528.39949899254</v>
      </c>
      <c r="E20" s="28">
        <f>778329*('2023 IR Data Book'!$A$5)</f>
        <v>211928.6064368567</v>
      </c>
      <c r="F20" s="28">
        <f>711800*('2023 IR Data Book'!$A$5)</f>
        <v>193813.64700756955</v>
      </c>
      <c r="G20" s="28">
        <f>704333*('2023 IR Data Book'!$A$5)</f>
        <v>191780.48249196753</v>
      </c>
      <c r="H20" s="28">
        <f>581871.5*('2023 IR Data Book'!$A$5)</f>
        <v>158435.84926210315</v>
      </c>
      <c r="I20" s="28">
        <f>624511.215208246*(('2023 IR Data Book'!$A$5))</f>
        <v>170046.07504444971</v>
      </c>
      <c r="J20" s="28">
        <f>758954.142799271*(('2023 IR Data Book'!$A$5))</f>
        <v>206653.09121583373</v>
      </c>
      <c r="K20" s="28">
        <f>712247*(('2023 IR Data Book'!$A$5))</f>
        <v>193935.35914610903</v>
      </c>
      <c r="L20" s="28">
        <f>492266.198975992*((('2023 IR Data Book'!$A$5)))</f>
        <v>134037.52082339278</v>
      </c>
    </row>
    <row r="21" spans="2:13" ht="15.75" thickBot="1" x14ac:dyDescent="0.3">
      <c r="C21" s="36">
        <f t="shared" ref="C21:E21" si="3">SUM(C17:C20)</f>
        <v>658779.61117464467</v>
      </c>
      <c r="D21" s="36">
        <f t="shared" si="3"/>
        <v>640502.09660730814</v>
      </c>
      <c r="E21" s="36">
        <f t="shared" si="3"/>
        <v>702607.14480204752</v>
      </c>
      <c r="F21" s="36">
        <f t="shared" ref="F21:K21" si="4">SUM(F17:F20)</f>
        <v>621513.91384849965</v>
      </c>
      <c r="G21" s="36">
        <f t="shared" si="4"/>
        <v>609179.87256984157</v>
      </c>
      <c r="H21" s="36">
        <f t="shared" si="4"/>
        <v>557933.69482910191</v>
      </c>
      <c r="I21" s="36">
        <f t="shared" si="4"/>
        <v>545007.29705316084</v>
      </c>
      <c r="J21" s="36">
        <f t="shared" si="4"/>
        <v>594401.36383801186</v>
      </c>
      <c r="K21" s="36">
        <f t="shared" si="4"/>
        <v>573599.90197680122</v>
      </c>
      <c r="L21" s="36">
        <f t="shared" ref="L21" si="5">SUM(L17:L20)</f>
        <v>504981.2710522429</v>
      </c>
    </row>
    <row r="22" spans="2:13" x14ac:dyDescent="0.2">
      <c r="B22" s="20" t="s">
        <v>84</v>
      </c>
      <c r="C22" s="28">
        <f>223270*('2023 IR Data Book'!$A$5)</f>
        <v>60793.443337145342</v>
      </c>
      <c r="D22" s="28">
        <f>222236*('2023 IR Data Book'!$A$5)</f>
        <v>60511.898927190545</v>
      </c>
      <c r="E22" s="28">
        <f>10796*('2023 IR Data Book'!$A$5)</f>
        <v>2939.6068180580514</v>
      </c>
      <c r="F22" s="28">
        <f>10650*('2023 IR Data Book'!$A$5)</f>
        <v>2899.8529652017642</v>
      </c>
      <c r="G22" s="28">
        <f>6706*('2023 IR Data Book'!$A$5)</f>
        <v>1825.9543647552141</v>
      </c>
      <c r="H22" s="28">
        <f>4600.82545261298*('2023 IR Data Book'!$A$5)</f>
        <v>1252.7434113742254</v>
      </c>
      <c r="I22" s="28">
        <f>7992.15309642213*(('2023 IR Data Book'!$A$5))</f>
        <v>2176.1567000005798</v>
      </c>
      <c r="J22" s="28">
        <f>6569.38132120438*(('2023 IR Data Book'!$A$5))</f>
        <v>1788.754920547944</v>
      </c>
      <c r="K22" s="28">
        <f>6185*(('2023 IR Data Book'!$A$5))</f>
        <v>1684.0930131242171</v>
      </c>
      <c r="L22" s="28">
        <f>5877.20954858466*((('2023 IR Data Book'!$A$5)))</f>
        <v>1600.2857780821919</v>
      </c>
    </row>
    <row r="23" spans="2:13" ht="15.75" thickBot="1" x14ac:dyDescent="0.3">
      <c r="B23" s="21" t="s">
        <v>85</v>
      </c>
      <c r="C23" s="37">
        <f t="shared" ref="C23:E23" si="6">C15+C21+C22</f>
        <v>1602831.7812993517</v>
      </c>
      <c r="D23" s="37">
        <f t="shared" si="6"/>
        <v>1600955.9984751947</v>
      </c>
      <c r="E23" s="37">
        <f t="shared" si="6"/>
        <v>1589073.1361977891</v>
      </c>
      <c r="F23" s="37">
        <f t="shared" ref="F23:K23" si="7">F15+F21+F22</f>
        <v>1470333.8978270469</v>
      </c>
      <c r="G23" s="37">
        <f t="shared" si="7"/>
        <v>1450469.6944943639</v>
      </c>
      <c r="H23" s="37">
        <f t="shared" si="7"/>
        <v>1401851.1157468108</v>
      </c>
      <c r="I23" s="37">
        <f t="shared" si="7"/>
        <v>1374356.2577811982</v>
      </c>
      <c r="J23" s="37">
        <f t="shared" si="7"/>
        <v>1658908.3135250399</v>
      </c>
      <c r="K23" s="37">
        <f t="shared" si="7"/>
        <v>1644857.3217883788</v>
      </c>
      <c r="L23" s="37">
        <f t="shared" ref="L23" si="8">L15+L21+L22</f>
        <v>1574258.8801297529</v>
      </c>
    </row>
    <row r="24" spans="2:13" ht="13.5" thickTop="1" x14ac:dyDescent="0.2"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2:13" ht="15" x14ac:dyDescent="0.25">
      <c r="B25" s="21" t="s">
        <v>86</v>
      </c>
    </row>
    <row r="26" spans="2:13" x14ac:dyDescent="0.2">
      <c r="B26" s="20" t="s">
        <v>87</v>
      </c>
      <c r="C26" s="28">
        <f>1464100*('2023 IR Data Book'!$A$5)</f>
        <v>398654.90388280782</v>
      </c>
      <c r="D26" s="28">
        <f>1464100*('2023 IR Data Book'!$A$5)</f>
        <v>398654.90388280782</v>
      </c>
      <c r="E26" s="28">
        <f>1464100*('2023 IR Data Book'!$A$5)</f>
        <v>398654.90388280782</v>
      </c>
      <c r="F26" s="28">
        <f>1464100*('2023 IR Data Book'!$A$5)</f>
        <v>398654.90388280782</v>
      </c>
      <c r="G26" s="28">
        <f>1464100*('2023 IR Data Book'!$A$5)</f>
        <v>398654.90388280782</v>
      </c>
      <c r="H26" s="28">
        <f>1464100.0005029*('2023 IR Data Book'!$A$5)</f>
        <v>398654.90401974076</v>
      </c>
      <c r="I26" s="28">
        <f>1464100.0005029*(('2023 IR Data Book'!$A$5))</f>
        <v>398654.90401974076</v>
      </c>
      <c r="J26" s="28">
        <f>1464100.0005029*(('2023 IR Data Book'!$A$5))</f>
        <v>398654.90401974076</v>
      </c>
      <c r="K26" s="28">
        <f>1464100*(('2023 IR Data Book'!$A$5))</f>
        <v>398654.90388280782</v>
      </c>
      <c r="L26" s="28">
        <f>1464100.0005029*((('2023 IR Data Book'!$A$5)))</f>
        <v>398654.90401974099</v>
      </c>
    </row>
    <row r="27" spans="2:13" x14ac:dyDescent="0.2">
      <c r="B27" s="20" t="s">
        <v>88</v>
      </c>
      <c r="C27" s="28">
        <f>408929*('2023 IR Data Book'!$A$5)</f>
        <v>111345.91297718236</v>
      </c>
      <c r="D27" s="28">
        <f>408929*('2023 IR Data Book'!$A$5)</f>
        <v>111345.91297718236</v>
      </c>
      <c r="E27" s="28">
        <f>(387956)*('2023 IR Data Book'!$A$5)</f>
        <v>105635.24478571038</v>
      </c>
      <c r="F27" s="28">
        <f>440802*('2023 IR Data Book'!$A$5)</f>
        <v>120024.50579970592</v>
      </c>
      <c r="G27" s="28">
        <f>440802*('2023 IR Data Book'!$A$5)</f>
        <v>120024.50579970592</v>
      </c>
      <c r="H27" s="28">
        <f>440802.007164254*('2023 IR Data Book'!$A$5)</f>
        <v>120024.50775043675</v>
      </c>
      <c r="I27" s="28">
        <f>440802.009766593*(('2023 IR Data Book'!$A$5))</f>
        <v>120024.50845901894</v>
      </c>
      <c r="J27" s="28">
        <f>471733.646084619*(('2023 IR Data Book'!$A$5))</f>
        <v>128446.78050553259</v>
      </c>
      <c r="K27" s="28">
        <f>471734*(('2023 IR Data Book'!$A$5))</f>
        <v>128446.8768719708</v>
      </c>
      <c r="L27" s="28">
        <f>471733.646084619*((('2023 IR Data Book'!$A$5)))</f>
        <v>128446.78050553259</v>
      </c>
    </row>
    <row r="28" spans="2:13" x14ac:dyDescent="0.2">
      <c r="B28" s="20" t="s">
        <v>89</v>
      </c>
      <c r="C28" s="28">
        <f>-346490*('2023 IR Data Book'!$A$5)</f>
        <v>-94344.606001198059</v>
      </c>
      <c r="D28" s="28">
        <f>-330959*('2023 IR Data Book'!$A$5)</f>
        <v>-90115.721831944669</v>
      </c>
      <c r="E28" s="28">
        <f>-245213*('2023 IR Data Book'!$A$5)</f>
        <v>-66768.229592114571</v>
      </c>
      <c r="F28" s="28">
        <f>-398529*('2023 IR Data Book'!$A$5)</f>
        <v>-108514.13167783042</v>
      </c>
      <c r="G28" s="28">
        <f>-434219*('2023 IR Data Book'!$A$5)</f>
        <v>-118232.04269454881</v>
      </c>
      <c r="H28" s="28">
        <f>-440973.294269109*('2023 IR Data Book'!$A$5)</f>
        <v>-120071.14694470103</v>
      </c>
      <c r="I28" s="28">
        <f>-458575.470851612*(('2023 IR Data Book'!$A$5))</f>
        <v>-124863.98487491476</v>
      </c>
      <c r="J28" s="28">
        <f>-529431.253823377*(('2023 IR Data Book'!$A$5))</f>
        <v>-144157.06960283639</v>
      </c>
      <c r="K28" s="28">
        <f>-547489*(('2023 IR Data Book'!$A$5))</f>
        <v>-149073.95305777923</v>
      </c>
      <c r="L28" s="28">
        <f>-556762.542076393*((('2023 IR Data Book'!$A$5)))</f>
        <v>-151599.01488765248</v>
      </c>
    </row>
    <row r="29" spans="2:13" x14ac:dyDescent="0.2">
      <c r="B29" s="20" t="s">
        <v>90</v>
      </c>
      <c r="C29" s="28">
        <f>-335186*('2023 IR Data Book'!$A$5)</f>
        <v>-91266.677558133204</v>
      </c>
      <c r="D29" s="28">
        <f>-335186*('2023 IR Data Book'!$A$5)</f>
        <v>-91266.677558133204</v>
      </c>
      <c r="E29" s="28">
        <f>(-329759)*('2023 IR Data Book'!$A$5)</f>
        <v>-89788.977835865589</v>
      </c>
      <c r="F29" s="28">
        <f>-329759*('2023 IR Data Book'!$A$5)</f>
        <v>-89788.977835865589</v>
      </c>
      <c r="G29" s="28">
        <f>-329759*('2023 IR Data Book'!$A$5)</f>
        <v>-89788.977835865589</v>
      </c>
      <c r="H29" s="28">
        <f>-329758.835389051*('2023 IR Data Book'!$A$5)</f>
        <v>-89788.933014499533</v>
      </c>
      <c r="I29" s="28">
        <f>-329758.835389051*(('2023 IR Data Book'!$A$5))</f>
        <v>-89788.933014499533</v>
      </c>
      <c r="J29" s="28">
        <f>-329908.082507851*(('2023 IR Data Book'!$A$5))</f>
        <v>-89829.571014499539</v>
      </c>
      <c r="K29" s="28">
        <f>-329908*(('2023 IR Data Book'!$A$5))</f>
        <v>-89829.548548712075</v>
      </c>
      <c r="L29" s="28">
        <f>-336985.876829251*((('2023 IR Data Book'!$A$5)))</f>
        <v>-91756.760014499523</v>
      </c>
    </row>
    <row r="30" spans="2:13" x14ac:dyDescent="0.2">
      <c r="B30" s="20" t="s">
        <v>91</v>
      </c>
      <c r="C30" s="28">
        <f>-7123*('2023 IR Data Book'!$A$5)</f>
        <v>-1939.4979033926918</v>
      </c>
      <c r="D30" s="28">
        <f>-7148*('2023 IR Data Book'!$A$5)</f>
        <v>-1946.3050699776725</v>
      </c>
      <c r="E30" s="28">
        <f>-12372*('2023 IR Data Book'!$A$5)</f>
        <v>-3368.7305995752326</v>
      </c>
      <c r="F30" s="28">
        <f>-12008*('2023 IR Data Book'!$A$5)</f>
        <v>-3269.6182540979139</v>
      </c>
      <c r="G30" s="28">
        <f>-11881*('2023 IR Data Book'!$A$5)</f>
        <v>-3235.0378478462121</v>
      </c>
      <c r="H30" s="28">
        <f>-12015.4950132358*('2023 IR Data Book'!$A$5)</f>
        <v>-3271.6590462440236</v>
      </c>
      <c r="I30" s="28">
        <f>-12031.0908187677*(('2023 IR Data Book'!$A$5))</f>
        <v>-3275.9055760953274</v>
      </c>
      <c r="J30" s="28">
        <f>-11804.0196227111*(('2023 IR Data Book'!$A$5))</f>
        <v>-3214.077117767004</v>
      </c>
      <c r="K30" s="28">
        <f>-11806*(('2023 IR Data Book'!$A$5))</f>
        <v>-3214.6163480912705</v>
      </c>
      <c r="L30" s="28">
        <f>-11810.2691153082*((('2023 IR Data Book'!$A$5)))</f>
        <v>-3215.7787712542154</v>
      </c>
    </row>
    <row r="31" spans="2:13" x14ac:dyDescent="0.2">
      <c r="B31" s="20" t="s">
        <v>92</v>
      </c>
      <c r="C31" s="34">
        <f>1549217*('2023 IR Data Book'!$A$5)</f>
        <v>421831.12781135977</v>
      </c>
      <c r="D31" s="34">
        <f>1424350*('2023 IR Data Book'!$A$5)</f>
        <v>387831.50901268853</v>
      </c>
      <c r="E31" s="34">
        <f>1507169*('2023 IR Data Book'!$A$5)</f>
        <v>410382.01818874909</v>
      </c>
      <c r="F31" s="34">
        <f>1500570*('2023 IR Data Book'!$A$5)</f>
        <v>408585.19849697762</v>
      </c>
      <c r="G31" s="34">
        <f>1547872*('2023 IR Data Book'!$A$5)</f>
        <v>421464.90224908781</v>
      </c>
      <c r="H31" s="34">
        <f>1402107.88355813*('2023 IR Data Book'!$A$5)</f>
        <v>381775.27733979467</v>
      </c>
      <c r="I31" s="34">
        <f>1441751.34506467*(('2023 IR Data Book'!$A$5))</f>
        <v>392569.66319900617</v>
      </c>
      <c r="J31" s="34">
        <f>1444833.6974776*(('2023 IR Data Book'!$A$5))</f>
        <v>393408.94665294344</v>
      </c>
      <c r="K31" s="34">
        <f>1468741.61847322*(('2023 IR Data Book'!$A$5))</f>
        <v>399918.75468965305</v>
      </c>
      <c r="L31" s="34">
        <f>1348122.32361925*((('2023 IR Data Book'!$A$5)))</f>
        <v>367075.72935229732</v>
      </c>
    </row>
    <row r="32" spans="2:13" x14ac:dyDescent="0.2"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spans="2:12" ht="15" x14ac:dyDescent="0.25">
      <c r="B33" s="21" t="s">
        <v>93</v>
      </c>
      <c r="C33" s="28">
        <f>(SUM(C26:C32))</f>
        <v>744281.16320862598</v>
      </c>
      <c r="D33" s="28">
        <f t="shared" ref="D33:H33" si="9">(SUM(D26:D32))</f>
        <v>714503.62141262321</v>
      </c>
      <c r="E33" s="28">
        <f t="shared" si="9"/>
        <v>754746.22882971191</v>
      </c>
      <c r="F33" s="28">
        <f t="shared" si="9"/>
        <v>725691.88041169744</v>
      </c>
      <c r="G33" s="28">
        <f t="shared" si="9"/>
        <v>728888.25355334091</v>
      </c>
      <c r="H33" s="28">
        <f t="shared" si="9"/>
        <v>687322.95010452764</v>
      </c>
      <c r="I33" s="28">
        <f t="shared" ref="I33:J33" si="10">(SUM(I26:I32))</f>
        <v>693320.25221225619</v>
      </c>
      <c r="J33" s="28">
        <f t="shared" si="10"/>
        <v>683309.91344311391</v>
      </c>
      <c r="K33" s="28">
        <f t="shared" ref="K33" si="11">(SUM(K26:K32))</f>
        <v>684902.41748984915</v>
      </c>
      <c r="L33" s="28">
        <f>2378397.28218582*((('2023 IR Data Book'!$A$5)))</f>
        <v>647605.86020416464</v>
      </c>
    </row>
    <row r="34" spans="2:12" x14ac:dyDescent="0.2">
      <c r="B34" s="20" t="s">
        <v>94</v>
      </c>
      <c r="C34" s="28">
        <f>14620*('2023 IR Data Book'!$A$5)</f>
        <v>3980.8310188966943</v>
      </c>
      <c r="D34" s="28">
        <f>14046*('2023 IR Data Book'!$A$5)</f>
        <v>3824.5384741055382</v>
      </c>
      <c r="E34" s="28">
        <f>11564*('2023 IR Data Book'!$A$5)</f>
        <v>3148.7229755486574</v>
      </c>
      <c r="F34" s="28">
        <f>10817*('2023 IR Data Book'!$A$5)</f>
        <v>2945.3248379894353</v>
      </c>
      <c r="G34" s="28">
        <f>10634*('2023 IR Data Book'!$A$5)</f>
        <v>2895.4963785873765</v>
      </c>
      <c r="H34" s="28">
        <f>9944.41812074526*('2023 IR Data Book'!$A$5)</f>
        <v>2707.7324295445351</v>
      </c>
      <c r="I34" s="28">
        <f>9251.50572697743*(('2023 IR Data Book'!$A$5))</f>
        <v>2519.0616258175214</v>
      </c>
      <c r="J34" s="28">
        <f>8864.92509707935*(('2023 IR Data Book'!$A$5))</f>
        <v>2413.8008759678019</v>
      </c>
      <c r="K34" s="28">
        <f>8880*(('2023 IR Data Book'!$A$5))</f>
        <v>2417.9055709851332</v>
      </c>
      <c r="L34" s="28">
        <f>7374.89694070358*((('2023 IR Data Book'!$A$5)))</f>
        <v>2008.0860808973437</v>
      </c>
    </row>
    <row r="35" spans="2:12" ht="15.75" thickBot="1" x14ac:dyDescent="0.3">
      <c r="B35" s="21" t="s">
        <v>95</v>
      </c>
      <c r="C35" s="36">
        <f t="shared" ref="C35:E35" si="12">SUM(C33:C34)</f>
        <v>748261.99422752263</v>
      </c>
      <c r="D35" s="36">
        <f t="shared" si="12"/>
        <v>718328.15988672874</v>
      </c>
      <c r="E35" s="36">
        <f t="shared" si="12"/>
        <v>757894.95180526061</v>
      </c>
      <c r="F35" s="36">
        <f t="shared" ref="F35:K35" si="13">SUM(F33:F34)</f>
        <v>728637.20524968684</v>
      </c>
      <c r="G35" s="36">
        <f t="shared" si="13"/>
        <v>731783.74993192824</v>
      </c>
      <c r="H35" s="36">
        <f t="shared" si="13"/>
        <v>690030.6825340722</v>
      </c>
      <c r="I35" s="36">
        <f t="shared" si="13"/>
        <v>695839.31383807375</v>
      </c>
      <c r="J35" s="36">
        <f t="shared" si="13"/>
        <v>685723.71431908174</v>
      </c>
      <c r="K35" s="36">
        <f t="shared" si="13"/>
        <v>687320.32306083431</v>
      </c>
      <c r="L35" s="36">
        <f t="shared" ref="L35" si="14">SUM(L33:L34)</f>
        <v>649613.946285062</v>
      </c>
    </row>
    <row r="36" spans="2:12" x14ac:dyDescent="0.2">
      <c r="C36" s="28"/>
      <c r="D36" s="28"/>
      <c r="E36" s="28"/>
      <c r="F36" s="28"/>
      <c r="G36" s="28"/>
      <c r="H36" s="28"/>
      <c r="I36" s="28"/>
      <c r="J36" s="28"/>
      <c r="K36" s="28"/>
      <c r="L36" s="28"/>
    </row>
    <row r="37" spans="2:12" ht="15" x14ac:dyDescent="0.25">
      <c r="B37" s="21" t="s">
        <v>96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spans="2:12" ht="15" x14ac:dyDescent="0.25">
      <c r="B38" s="21" t="s">
        <v>97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2:12" x14ac:dyDescent="0.2">
      <c r="B39" s="20" t="s">
        <v>98</v>
      </c>
      <c r="C39" s="28">
        <f>155368*('2023 IR Data Book'!$A$5)</f>
        <v>42304.634319011049</v>
      </c>
      <c r="D39" s="28">
        <f>146488*('2023 IR Data Book'!$A$5)</f>
        <v>39886.728748025918</v>
      </c>
      <c r="E39" s="28">
        <f>139069*('2023 IR Data Book'!$A$5)</f>
        <v>37866.63399226706</v>
      </c>
      <c r="F39" s="28">
        <f>137259*('2023 IR Data Book'!$A$5)</f>
        <v>37373.79513151446</v>
      </c>
      <c r="G39" s="28">
        <f>137922*('2023 IR Data Book'!$A$5)</f>
        <v>37554.321189348142</v>
      </c>
      <c r="H39" s="28">
        <f>122172.398073862*('2023 IR Data Book'!$A$5)</f>
        <v>33265.914631013991</v>
      </c>
      <c r="I39" s="28">
        <f>110045.869283579*(('2023 IR Data Book'!$A$5))</f>
        <v>29964.022568093176</v>
      </c>
      <c r="J39" s="28">
        <f>1086304.43086358*(('2023 IR Data Book'!$A$5))</f>
        <v>295786.20891564013</v>
      </c>
      <c r="K39" s="28">
        <f>1087207*(('2023 IR Data Book'!$A$5))</f>
        <v>296031.96645428304</v>
      </c>
      <c r="L39" s="28">
        <f>1088847.78888998*((('2023 IR Data Book'!$A$5)))</f>
        <v>296478.7313864794</v>
      </c>
    </row>
    <row r="40" spans="2:12" x14ac:dyDescent="0.2">
      <c r="B40" s="20" t="s">
        <v>99</v>
      </c>
      <c r="C40" s="28">
        <f>669312*('2023 IR Data Book'!$A$5)</f>
        <v>182244.73125306322</v>
      </c>
      <c r="D40" s="28">
        <f>720024*('2023 IR Data Book'!$A$5)</f>
        <v>196052.93252736481</v>
      </c>
      <c r="E40" s="28">
        <f>730981*('2023 IR Data Book'!$A$5)</f>
        <v>199036.37749823014</v>
      </c>
      <c r="F40" s="28">
        <f>754933*('2023 IR Data Book'!$A$5)</f>
        <v>205558.18765996842</v>
      </c>
      <c r="G40" s="28">
        <f>744238*('2023 IR Data Book'!$A$5)</f>
        <v>202646.08179491368</v>
      </c>
      <c r="H40" s="28">
        <f>794947.789637232*('2023 IR Data Book'!$A$5)</f>
        <v>216453.68121691226</v>
      </c>
      <c r="I40" s="28">
        <f>774058.801887165*(('2023 IR Data Book'!$A$5))</f>
        <v>210765.88844065921</v>
      </c>
      <c r="J40" s="28">
        <f>757036.036674961*(('2023 IR Data Book'!$A$5))</f>
        <v>206130.81649919975</v>
      </c>
      <c r="K40" s="28">
        <f>784551*(('2023 IR Data Book'!$A$5))</f>
        <v>213622.77405652669</v>
      </c>
      <c r="L40" s="28">
        <f>772653.982024996*((('2023 IR Data Book'!$A$5)))</f>
        <v>210383.37472771219</v>
      </c>
    </row>
    <row r="41" spans="2:12" x14ac:dyDescent="0.2">
      <c r="B41" s="20" t="s">
        <v>100</v>
      </c>
      <c r="C41" s="28">
        <f>152120*('2023 IR Data Book'!$A$5)</f>
        <v>41420.247236290365</v>
      </c>
      <c r="D41" s="28">
        <f>151634*('2023 IR Data Book'!$A$5)</f>
        <v>41287.915917878337</v>
      </c>
      <c r="E41" s="28">
        <f>151071*('2023 IR Data Book'!$A$5)</f>
        <v>41134.618526384576</v>
      </c>
      <c r="F41" s="28">
        <f>148822*('2023 IR Data Book'!$A$5)</f>
        <v>40522.245820399716</v>
      </c>
      <c r="G41" s="28">
        <f>148248*('2023 IR Data Book'!$A$5)</f>
        <v>40365.953275608561</v>
      </c>
      <c r="H41" s="28">
        <f>152316.131298976*('2023 IR Data Book'!$A$5)</f>
        <v>41473.651173276696</v>
      </c>
      <c r="I41" s="28">
        <f>154912.371507284*(('2023 IR Data Book'!$A$5))</f>
        <v>42180.572756979796</v>
      </c>
      <c r="J41" s="28">
        <f>164135.805930721*(('2023 IR Data Book'!$A$5))</f>
        <v>44691.990941219025</v>
      </c>
      <c r="K41" s="28">
        <f>162637*(('2023 IR Data Book'!$A$5))</f>
        <v>44283.88607526003</v>
      </c>
      <c r="L41" s="28">
        <f>165335.750656825*((('2023 IR Data Book'!$A$5)))</f>
        <v>45018.719886953251</v>
      </c>
    </row>
    <row r="42" spans="2:12" x14ac:dyDescent="0.2">
      <c r="B42" s="20" t="s">
        <v>101</v>
      </c>
      <c r="C42" s="28">
        <f>58340*('2023 IR Data Book'!$A$5)</f>
        <v>15885.203942710885</v>
      </c>
      <c r="D42" s="28">
        <f>60872*('2023 IR Data Book'!$A$5)</f>
        <v>16574.633774437727</v>
      </c>
      <c r="E42" s="28">
        <f>67701*('2023 IR Data Book'!$A$5)</f>
        <v>18434.079398791047</v>
      </c>
      <c r="F42" s="28">
        <f>42114*('2023 IR Data Book'!$A$5)</f>
        <v>11467.080542395033</v>
      </c>
      <c r="G42" s="28">
        <f>41398*('2023 IR Data Book'!$A$5)</f>
        <v>11272.123291401187</v>
      </c>
      <c r="H42" s="28">
        <f>37510.7120458181*('2023 IR Data Book'!$A$5)</f>
        <v>10213.666624684991</v>
      </c>
      <c r="I42" s="28">
        <f>31682.782300513*(('2023 IR Data Book'!$A$5))</f>
        <v>8626.7990798107603</v>
      </c>
      <c r="J42" s="28">
        <f>30828.0311206542*(('2023 IR Data Book'!$A$5))</f>
        <v>8394.061733010456</v>
      </c>
      <c r="K42" s="28">
        <f>30172*(('2023 IR Data Book'!$A$5))</f>
        <v>8215.4332080814675</v>
      </c>
      <c r="L42" s="28">
        <f>32589.7197498808*((('2023 IR Data Book'!$A$5)))</f>
        <v>8873.746051810931</v>
      </c>
    </row>
    <row r="43" spans="2:12" x14ac:dyDescent="0.2">
      <c r="B43" s="20" t="s">
        <v>102</v>
      </c>
      <c r="C43" s="28">
        <f>0*('2023 IR Data Book'!$A$5)</f>
        <v>0</v>
      </c>
      <c r="D43" s="28">
        <f>0*('2023 IR Data Book'!$A$5)</f>
        <v>0</v>
      </c>
      <c r="E43" s="28">
        <f>18964*('2023 IR Data Book'!$A$5)</f>
        <v>5163.6442847029348</v>
      </c>
      <c r="F43" s="28">
        <f>18305*('2023 IR Data Book'!$A$5)</f>
        <v>4984.2073735228441</v>
      </c>
      <c r="G43" s="28">
        <f>18047*('2023 IR Data Book'!$A$5)</f>
        <v>4913.9574143658438</v>
      </c>
      <c r="H43" s="28">
        <f>15709.402135929*('2023 IR Data Book'!$A$5)</f>
        <v>4277.4606915887925</v>
      </c>
      <c r="I43" s="28">
        <f>13870.2658370159*(('2023 IR Data Book'!$A$5))</f>
        <v>3776.6884052213418</v>
      </c>
      <c r="J43" s="28">
        <f>15960.5818464282*(('2023 IR Data Book'!$A$5))</f>
        <v>4345.8535768742031</v>
      </c>
      <c r="K43" s="28">
        <f>14343*(('2023 IR Data Book'!$A$5))</f>
        <v>3905.4076131351085</v>
      </c>
      <c r="L43" s="28">
        <f>13510.6061910751*((('2023 IR Data Book'!$A$5)))</f>
        <v>3678.7578802687863</v>
      </c>
    </row>
    <row r="44" spans="2:12" ht="15.75" thickBot="1" x14ac:dyDescent="0.3">
      <c r="C44" s="36">
        <f t="shared" ref="C44:E44" si="15">SUM(C39:C43)</f>
        <v>281854.8167510755</v>
      </c>
      <c r="D44" s="36">
        <f t="shared" si="15"/>
        <v>293802.21096770681</v>
      </c>
      <c r="E44" s="36">
        <f t="shared" si="15"/>
        <v>301635.35370037582</v>
      </c>
      <c r="F44" s="36">
        <f t="shared" ref="F44:K44" si="16">SUM(F39:F43)</f>
        <v>299905.51652780047</v>
      </c>
      <c r="G44" s="36">
        <f t="shared" si="16"/>
        <v>296752.43696563743</v>
      </c>
      <c r="H44" s="36">
        <f t="shared" si="16"/>
        <v>305684.37433747674</v>
      </c>
      <c r="I44" s="36">
        <f t="shared" si="16"/>
        <v>295313.97125076427</v>
      </c>
      <c r="J44" s="36">
        <f t="shared" si="16"/>
        <v>559348.93166594359</v>
      </c>
      <c r="K44" s="36">
        <f t="shared" si="16"/>
        <v>566059.46740728628</v>
      </c>
      <c r="L44" s="36">
        <f t="shared" ref="L44" si="17">SUM(L39:L43)</f>
        <v>564433.32993322448</v>
      </c>
    </row>
    <row r="45" spans="2:12" ht="15" x14ac:dyDescent="0.25">
      <c r="B45" s="21" t="s">
        <v>103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</row>
    <row r="46" spans="2:12" x14ac:dyDescent="0.2">
      <c r="B46" s="20" t="s">
        <v>104</v>
      </c>
      <c r="C46" s="28">
        <f>301582*('2023 IR Data Book'!$A$5)</f>
        <v>82116.75652126559</v>
      </c>
      <c r="D46" s="28">
        <f>318984*('2023 IR Data Book'!$A$5)</f>
        <v>86855.08903773893</v>
      </c>
      <c r="E46" s="28">
        <f>296363*('2023 IR Data Book'!$A$5)</f>
        <v>80695.692424985027</v>
      </c>
      <c r="F46" s="28">
        <f>344120*('2023 IR Data Book'!$A$5)</f>
        <v>93699.286608941882</v>
      </c>
      <c r="G46" s="28">
        <f>311248*('2023 IR Data Book'!$A$5)</f>
        <v>84748.679409682503</v>
      </c>
      <c r="H46" s="28">
        <f>270356.066055253*('2023 IR Data Book'!$A$5)</f>
        <v>73614.35115592576</v>
      </c>
      <c r="I46" s="28">
        <f>250079.639366778*(('2023 IR Data Book'!$A$5))</f>
        <v>68093.350587261884</v>
      </c>
      <c r="J46" s="28">
        <f>324776.31091803*(('2023 IR Data Book'!$A$5))</f>
        <v>88432.258050980221</v>
      </c>
      <c r="K46" s="28">
        <f>311788*(('2023 IR Data Book'!$A$5))</f>
        <v>84895.714207918092</v>
      </c>
      <c r="L46" s="28">
        <f>308798.462235073*((('2023 IR Data Book'!$A$5)))</f>
        <v>84081.702944800214</v>
      </c>
    </row>
    <row r="47" spans="2:12" x14ac:dyDescent="0.2">
      <c r="B47" s="20" t="s">
        <v>99</v>
      </c>
      <c r="C47" s="28">
        <f>171726*('2023 IR Data Book'!$A$5)</f>
        <v>46758.699558895605</v>
      </c>
      <c r="D47" s="28">
        <f>166802*('2023 IR Data Book'!$A$5)</f>
        <v>45417.960028317808</v>
      </c>
      <c r="E47" s="28">
        <f>179242*('2023 IR Data Book'!$A$5)</f>
        <v>48805.206121004194</v>
      </c>
      <c r="F47" s="28">
        <f>180382*('2023 IR Data Book'!$A$5)</f>
        <v>49115.612917279308</v>
      </c>
      <c r="G47" s="28">
        <f>185454*('2023 IR Data Book'!$A$5)</f>
        <v>50496.650874040184</v>
      </c>
      <c r="H47" s="28">
        <f>181930.801708948*('2023 IR Data Book'!$A$5)</f>
        <v>49537.330966875787</v>
      </c>
      <c r="I47" s="28">
        <f>178491.574249645*(('2023 IR Data Book'!$A$5))</f>
        <v>48600.875197311165</v>
      </c>
      <c r="J47" s="28">
        <f>181687.195623764*(('2023 IR Data Book'!$A$5))</f>
        <v>49471.000278757281</v>
      </c>
      <c r="K47" s="28">
        <f>185955*(('2023 IR Data Book'!$A$5))</f>
        <v>50633.066492403203</v>
      </c>
      <c r="L47" s="28">
        <f>185034.134932906*((('2023 IR Data Book'!$A$5)))</f>
        <v>50382.327215843266</v>
      </c>
    </row>
    <row r="48" spans="2:12" x14ac:dyDescent="0.2">
      <c r="B48" s="20" t="s">
        <v>105</v>
      </c>
      <c r="C48" s="28">
        <f>145843*('2023 IR Data Book'!$A$5)</f>
        <v>39711.103850133419</v>
      </c>
      <c r="D48" s="28">
        <f>155122*('2023 IR Data Book'!$A$5)</f>
        <v>42237.651799814841</v>
      </c>
      <c r="E48" s="28">
        <f>170128*('2023 IR Data Book'!$A$5)</f>
        <v>46323.585470783641</v>
      </c>
      <c r="F48" s="28">
        <f>153113*('2023 IR Data Book'!$A$5)</f>
        <v>41690.627893045799</v>
      </c>
      <c r="G48" s="28">
        <f>156134*('2023 IR Data Book'!$A$5)</f>
        <v>42513.205903174858</v>
      </c>
      <c r="H48" s="28">
        <f>136850.951749966*('2023 IR Data Book'!$A$5)</f>
        <v>37262.689035006806</v>
      </c>
      <c r="I48" s="28">
        <f>157196.561404239*(('2023 IR Data Book'!$A$5))</f>
        <v>42802.527202591897</v>
      </c>
      <c r="J48" s="28">
        <f>131353.241586093*(('2023 IR Data Book'!$A$5))</f>
        <v>35765.735878149811</v>
      </c>
      <c r="K48" s="28">
        <f>41340*(('2023 IR Data Book'!$A$5))</f>
        <v>11256.330664924031</v>
      </c>
      <c r="L48" s="28">
        <f>5518.31675756188*((('2023 IR Data Book'!$A$5)))</f>
        <v>1502.5640574965623</v>
      </c>
    </row>
    <row r="49" spans="2:13" x14ac:dyDescent="0.2">
      <c r="B49" s="20" t="s">
        <v>106</v>
      </c>
      <c r="C49" s="28">
        <f>396594*('2023 IR Data Book'!$A$5)</f>
        <v>107987.2569841529</v>
      </c>
      <c r="D49" s="28">
        <f>396651*('2023 IR Data Book'!$A$5)</f>
        <v>108002.77732396667</v>
      </c>
      <c r="E49" s="28">
        <f>282409*('2023 IR Data Book'!$A$5)</f>
        <v>76896.204323912214</v>
      </c>
      <c r="F49" s="28">
        <f>27424*('2023 IR Data Book'!$A$5)</f>
        <v>7467.1894570603927</v>
      </c>
      <c r="G49" s="28">
        <f>29645*('2023 IR Data Book'!$A$5)</f>
        <v>8071.9381364700748</v>
      </c>
      <c r="H49" s="28">
        <f>30527.0124957848*('2023 IR Data Book'!$A$5)</f>
        <v>8312.0983760237432</v>
      </c>
      <c r="I49" s="28">
        <f>30784.9639042048*(('2023 IR Data Book'!$A$5))</f>
        <v>8382.3351043415569</v>
      </c>
      <c r="J49" s="28">
        <f>38865.3371067954*(('2023 IR Data Book'!$A$5))</f>
        <v>10582.512962695473</v>
      </c>
      <c r="K49" s="28">
        <f>48483*(('2023 IR Data Book'!$A$5))</f>
        <v>13201.274301584708</v>
      </c>
      <c r="L49" s="28">
        <f>50031.9790338532*((('2023 IR Data Book'!$A$5)))</f>
        <v>13623.040634387962</v>
      </c>
    </row>
    <row r="50" spans="2:13" x14ac:dyDescent="0.2">
      <c r="B50" s="20" t="s">
        <v>107</v>
      </c>
      <c r="C50" s="28">
        <f>80696*('2023 IR Data Book'!$A$5)</f>
        <v>21972.444589663995</v>
      </c>
      <c r="D50" s="28">
        <f>85881*('2023 IR Data Book'!$A$5)</f>
        <v>23384.250939388989</v>
      </c>
      <c r="E50" s="28">
        <f>94008*('2023 IR Data Book'!$A$5)</f>
        <v>25597.124652834504</v>
      </c>
      <c r="F50" s="28">
        <f>62547*('2023 IR Data Book'!$A$5)</f>
        <v>17030.713935631433</v>
      </c>
      <c r="G50" s="28">
        <f>63713*('2023 IR Data Book'!$A$5)</f>
        <v>17348.200185154928</v>
      </c>
      <c r="H50" s="28">
        <f>61136.7566261348*('2023 IR Data Book'!$A$5)</f>
        <v>16646.723472780806</v>
      </c>
      <c r="I50" s="28">
        <f>52704.6012868802*(('2023 IR Data Book'!$A$5))</f>
        <v>14350.760030191199</v>
      </c>
      <c r="J50" s="28">
        <f>46038.4362802212*(('2023 IR Data Book'!$A$5))</f>
        <v>12535.652202859335</v>
      </c>
      <c r="K50" s="28">
        <f>53500*(('2023 IR Data Book'!$A$5))</f>
        <v>14567.336491858629</v>
      </c>
      <c r="L50" s="28">
        <f>41844.3929693609*((('2023 IR Data Book'!$A$5)))</f>
        <v>11393.670143593339</v>
      </c>
    </row>
    <row r="51" spans="2:13" x14ac:dyDescent="0.2">
      <c r="B51" s="20" t="s">
        <v>108</v>
      </c>
      <c r="C51" s="28">
        <f>913390*('2023 IR Data Book'!$A$5)</f>
        <v>248703.91548221966</v>
      </c>
      <c r="D51" s="28">
        <f>947539*('2023 IR Data Book'!$A$5)</f>
        <v>258002.23275063987</v>
      </c>
      <c r="E51" s="28">
        <f>917790*('2023 IR Data Book'!$A$5)</f>
        <v>249901.97680117626</v>
      </c>
      <c r="F51" s="28">
        <f>850431*('2023 IR Data Book'!$A$5)</f>
        <v>231561.01944126777</v>
      </c>
      <c r="G51" s="28">
        <f>801300*('2023 IR Data Book'!$A$5)</f>
        <v>218183.30338180036</v>
      </c>
      <c r="H51" s="28">
        <f>809013.043521554*('2023 IR Data Book'!$A$5)</f>
        <v>220283.46226693731</v>
      </c>
      <c r="I51" s="28">
        <f>732255.651046816*(('2023 IR Data Book'!$A$5))</f>
        <v>199383.44797876599</v>
      </c>
      <c r="J51" s="28">
        <f>792225.528117139*(('2023 IR Data Book'!$A$5))</f>
        <v>215712.44571070603</v>
      </c>
      <c r="K51" s="28">
        <f>(53388+738756)*(('2023 IR Data Book'!$A$5))</f>
        <v>215690.24669171704</v>
      </c>
      <c r="L51" s="28">
        <f>727768.197714132*((('2023 IR Data Book'!$A$5)))</f>
        <v>198161.57428364974</v>
      </c>
    </row>
    <row r="52" spans="2:13" ht="15.75" thickBot="1" x14ac:dyDescent="0.3">
      <c r="C52" s="36">
        <f t="shared" ref="C52:E52" si="18">SUM(C46:C51)</f>
        <v>547250.17698633112</v>
      </c>
      <c r="D52" s="36">
        <f t="shared" si="18"/>
        <v>563899.96187986713</v>
      </c>
      <c r="E52" s="36">
        <f t="shared" si="18"/>
        <v>528219.7897946958</v>
      </c>
      <c r="F52" s="36">
        <f t="shared" ref="F52:K52" si="19">SUM(F46:F51)</f>
        <v>440564.45025322656</v>
      </c>
      <c r="G52" s="36">
        <f t="shared" si="19"/>
        <v>421361.97789032292</v>
      </c>
      <c r="H52" s="36">
        <f t="shared" si="19"/>
        <v>405656.65527355019</v>
      </c>
      <c r="I52" s="36">
        <f t="shared" si="19"/>
        <v>381613.29610046372</v>
      </c>
      <c r="J52" s="36">
        <f t="shared" si="19"/>
        <v>412499.60508414812</v>
      </c>
      <c r="K52" s="36">
        <f t="shared" si="19"/>
        <v>390243.96885040571</v>
      </c>
      <c r="L52" s="36">
        <f t="shared" ref="L52" si="20">SUM(L46:L51)</f>
        <v>359144.87927977106</v>
      </c>
    </row>
    <row r="53" spans="2:13" x14ac:dyDescent="0.2">
      <c r="B53" s="20" t="s">
        <v>109</v>
      </c>
      <c r="C53" s="28">
        <f>93522*('2023 IR Data Book'!$A$5)</f>
        <v>25464.79333442248</v>
      </c>
      <c r="D53" s="28">
        <f>91542*('2023 IR Data Book'!$A$5)</f>
        <v>24925.665740892011</v>
      </c>
      <c r="E53" s="28">
        <f>4859*('2023 IR Data Book'!$A$5)</f>
        <v>1323.0408974568425</v>
      </c>
      <c r="F53" s="28">
        <f>4505*('2023 IR Data Book'!$A$5)</f>
        <v>1226.6514186135162</v>
      </c>
      <c r="G53" s="28">
        <f>2099*('2023 IR Data Book'!$A$5)</f>
        <v>571.52970647497682</v>
      </c>
      <c r="H53" s="28">
        <f>1760.28422364487*('2023 IR Data Book'!$A$5)</f>
        <v>479.30191789055982</v>
      </c>
      <c r="I53" s="28">
        <f>5838.24756504022*(('2023 IR Data Book'!$A$5))</f>
        <v>1589.6769495834612</v>
      </c>
      <c r="J53" s="28">
        <f>4906.82920986739*(('2023 IR Data Book'!$A$5))</f>
        <v>1336.0641534246556</v>
      </c>
      <c r="K53" s="28">
        <f>4530*(('2023 IR Data Book'!$A$5))</f>
        <v>1233.4585851984968</v>
      </c>
      <c r="L53" s="28">
        <f>3917.65053221425*((('2023 IR Data Book'!$A$5)))</f>
        <v>1066.7239917808222</v>
      </c>
    </row>
    <row r="54" spans="2:13" ht="15" x14ac:dyDescent="0.25">
      <c r="B54" s="21" t="s">
        <v>110</v>
      </c>
      <c r="C54" s="38">
        <f t="shared" ref="C54:E54" si="21">C52+C53+C44</f>
        <v>854569.7870718292</v>
      </c>
      <c r="D54" s="38">
        <f t="shared" si="21"/>
        <v>882627.83858846594</v>
      </c>
      <c r="E54" s="38">
        <f t="shared" si="21"/>
        <v>831178.18439252838</v>
      </c>
      <c r="F54" s="38">
        <f t="shared" ref="F54:K54" si="22">F52+F53+F44</f>
        <v>741696.61819964054</v>
      </c>
      <c r="G54" s="38">
        <f t="shared" si="22"/>
        <v>718685.94456243538</v>
      </c>
      <c r="H54" s="38">
        <f t="shared" si="22"/>
        <v>711820.33152891742</v>
      </c>
      <c r="I54" s="38">
        <f t="shared" si="22"/>
        <v>678516.9443008115</v>
      </c>
      <c r="J54" s="38">
        <f t="shared" si="22"/>
        <v>973184.6009035164</v>
      </c>
      <c r="K54" s="38">
        <f t="shared" si="22"/>
        <v>957536.89484289056</v>
      </c>
      <c r="L54" s="38">
        <f t="shared" ref="L54" si="23">L52+L53+L44</f>
        <v>924644.93320477637</v>
      </c>
    </row>
    <row r="55" spans="2:13" ht="15.75" thickBot="1" x14ac:dyDescent="0.3">
      <c r="B55" s="21" t="s">
        <v>111</v>
      </c>
      <c r="C55" s="37">
        <f t="shared" ref="C55:E55" si="24">C54+C35</f>
        <v>1602831.7812993517</v>
      </c>
      <c r="D55" s="37">
        <f t="shared" si="24"/>
        <v>1600955.9984751947</v>
      </c>
      <c r="E55" s="37">
        <f t="shared" si="24"/>
        <v>1589073.1361977891</v>
      </c>
      <c r="F55" s="37">
        <f t="shared" ref="F55:K55" si="25">F54+F35</f>
        <v>1470333.8234493274</v>
      </c>
      <c r="G55" s="37">
        <f t="shared" si="25"/>
        <v>1450469.6944943636</v>
      </c>
      <c r="H55" s="37">
        <f t="shared" si="25"/>
        <v>1401851.0140629895</v>
      </c>
      <c r="I55" s="37">
        <f t="shared" si="25"/>
        <v>1374356.2581388853</v>
      </c>
      <c r="J55" s="37">
        <f t="shared" si="25"/>
        <v>1658908.3152225981</v>
      </c>
      <c r="K55" s="37">
        <f t="shared" si="25"/>
        <v>1644857.2179037249</v>
      </c>
      <c r="L55" s="37">
        <f t="shared" ref="L55" si="26">L54+L35</f>
        <v>1574258.8794898384</v>
      </c>
      <c r="M55" s="28"/>
    </row>
    <row r="56" spans="2:13" ht="13.5" thickTop="1" x14ac:dyDescent="0.2">
      <c r="C56" s="28">
        <f t="shared" ref="C56:E56" si="27">C55-C23</f>
        <v>0</v>
      </c>
      <c r="D56" s="28">
        <f t="shared" si="27"/>
        <v>0</v>
      </c>
      <c r="E56" s="28">
        <f t="shared" si="27"/>
        <v>0</v>
      </c>
      <c r="F56" s="28">
        <f t="shared" ref="F56:K56" si="28">F55-F23</f>
        <v>-7.4377719545736909E-2</v>
      </c>
      <c r="G56" s="28">
        <f t="shared" si="28"/>
        <v>0</v>
      </c>
      <c r="H56" s="28">
        <f t="shared" si="28"/>
        <v>-0.10168382129631937</v>
      </c>
      <c r="I56" s="28">
        <f t="shared" si="28"/>
        <v>3.5768700763583183E-4</v>
      </c>
      <c r="J56" s="28">
        <f t="shared" si="28"/>
        <v>1.6975582111626863E-3</v>
      </c>
      <c r="K56" s="28">
        <f t="shared" si="28"/>
        <v>-0.10388465388678014</v>
      </c>
      <c r="L56" s="28">
        <f t="shared" ref="L56" si="29">L55-L23</f>
        <v>-6.3991453498601913E-4</v>
      </c>
      <c r="M56" s="234"/>
    </row>
    <row r="57" spans="2:13" x14ac:dyDescent="0.2">
      <c r="C57" s="28"/>
      <c r="D57" s="28"/>
      <c r="E57" s="28"/>
      <c r="F57" s="28"/>
      <c r="G57" s="28"/>
      <c r="H57" s="28"/>
      <c r="I57" s="28"/>
      <c r="J57" s="28"/>
      <c r="K57" s="28"/>
      <c r="L57" s="28"/>
    </row>
    <row r="58" spans="2:13" x14ac:dyDescent="0.2">
      <c r="C58" s="39"/>
      <c r="D58" s="39"/>
      <c r="E58" s="39"/>
      <c r="F58" s="39"/>
      <c r="G58" s="39"/>
      <c r="H58" s="39"/>
      <c r="I58" s="39"/>
      <c r="J58" s="39"/>
      <c r="K58" s="39"/>
      <c r="L58" s="39"/>
    </row>
    <row r="59" spans="2:13" x14ac:dyDescent="0.2">
      <c r="C59" s="39"/>
      <c r="D59" s="39"/>
      <c r="E59" s="39"/>
      <c r="F59" s="39"/>
      <c r="G59" s="39"/>
      <c r="H59" s="39"/>
      <c r="I59" s="39"/>
      <c r="J59" s="39"/>
      <c r="K59" s="39"/>
      <c r="L59" s="39"/>
    </row>
    <row r="61" spans="2:13" x14ac:dyDescent="0.2">
      <c r="H61" s="209"/>
    </row>
    <row r="62" spans="2:13" x14ac:dyDescent="0.2">
      <c r="C62" s="28"/>
      <c r="H62" s="28"/>
    </row>
  </sheetData>
  <pageMargins left="0.7" right="0.7" top="0.75" bottom="0.75" header="0.3" footer="0.3"/>
  <pageSetup orientation="portrait" horizontalDpi="1200" verticalDpi="1200" r:id="rId1"/>
  <ignoredErrors>
    <ignoredError sqref="G2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3CDC0-9463-4CAE-9B07-BEAFA8E7E04A}">
  <dimension ref="A1:N81"/>
  <sheetViews>
    <sheetView showGridLines="0" workbookViewId="0">
      <pane xSplit="2" ySplit="2" topLeftCell="E3" activePane="bottomRight" state="frozen"/>
      <selection pane="topRight" activeCell="P28" sqref="P28"/>
      <selection pane="bottomLeft" activeCell="P28" sqref="P28"/>
      <selection pane="bottomRight" activeCell="I83" sqref="I83"/>
    </sheetView>
  </sheetViews>
  <sheetFormatPr defaultColWidth="9.140625" defaultRowHeight="12.75" x14ac:dyDescent="0.2"/>
  <cols>
    <col min="1" max="1" width="4.42578125" style="20" customWidth="1"/>
    <col min="2" max="2" width="57.28515625" style="20" customWidth="1"/>
    <col min="3" max="3" width="10.42578125" style="20" bestFit="1" customWidth="1"/>
    <col min="4" max="5" width="9.28515625" style="20" bestFit="1" customWidth="1"/>
    <col min="6" max="6" width="12" style="20" customWidth="1"/>
    <col min="7" max="7" width="9.140625" style="20" customWidth="1"/>
    <col min="8" max="8" width="14.7109375" style="20" customWidth="1"/>
    <col min="9" max="9" width="9.42578125" style="20" bestFit="1" customWidth="1"/>
    <col min="10" max="11" width="10" style="20" bestFit="1" customWidth="1"/>
    <col min="12" max="12" width="11.42578125" style="20" bestFit="1" customWidth="1"/>
    <col min="13" max="13" width="36" style="20" customWidth="1"/>
    <col min="14" max="16384" width="9.140625" style="20"/>
  </cols>
  <sheetData>
    <row r="1" spans="1:12" x14ac:dyDescent="0.2">
      <c r="A1" s="162">
        <f>'2023 IR Data Book'!$A$5</f>
        <v>0.27228666339922669</v>
      </c>
    </row>
    <row r="2" spans="1:12" x14ac:dyDescent="0.2">
      <c r="B2" s="40" t="s">
        <v>112</v>
      </c>
      <c r="C2" s="128" t="s">
        <v>20</v>
      </c>
      <c r="D2" s="127" t="s">
        <v>21</v>
      </c>
      <c r="E2" s="128" t="s">
        <v>22</v>
      </c>
      <c r="F2" s="128" t="s">
        <v>23</v>
      </c>
      <c r="G2" s="128" t="s">
        <v>25</v>
      </c>
      <c r="H2" s="127" t="s">
        <v>26</v>
      </c>
      <c r="I2" s="127" t="s">
        <v>260</v>
      </c>
      <c r="J2" s="127" t="s">
        <v>274</v>
      </c>
      <c r="K2" s="127" t="s">
        <v>281</v>
      </c>
      <c r="L2" s="127" t="s">
        <v>297</v>
      </c>
    </row>
    <row r="3" spans="1:12" x14ac:dyDescent="0.2">
      <c r="B3" s="41" t="s">
        <v>113</v>
      </c>
      <c r="C3" s="57">
        <f>69097*('2023 IR Data Book'!$A$5)</f>
        <v>18814.191580896368</v>
      </c>
      <c r="D3" s="57">
        <f>159318*('2023 IR Data Book'!$A$5)</f>
        <v>43380.166639438001</v>
      </c>
      <c r="E3" s="57">
        <f>215127*('2023 IR Data Book'!$A$5)</f>
        <v>58576.213037085443</v>
      </c>
      <c r="F3" s="57">
        <f>262224*('2023 IR Data Book'!$A$5)</f>
        <v>71400.098023198821</v>
      </c>
      <c r="G3" s="57">
        <f>66712.9745935493*('2023 IR Data Book'!$A$5)</f>
        <v>18165.053257514919</v>
      </c>
      <c r="H3" s="57">
        <f>120074*('2023 IR Data Book'!$A$5)</f>
        <v>32694.548820998745</v>
      </c>
      <c r="I3" s="57">
        <f>156381.225085283*(('2023 IR Data Book'!$A$5))</f>
        <v>42580.521996755153</v>
      </c>
      <c r="J3" s="57">
        <f>186694.205476693*(('2023 IR Data Book'!$A$5))</f>
        <v>50834.342285218372</v>
      </c>
      <c r="K3" s="57">
        <f>35460*(('2023 IR Data Book'!$A$5))</f>
        <v>9655.285084136578</v>
      </c>
      <c r="L3" s="57">
        <f>59454.7991793601*((('2023 IR Data Book'!$A$5)))</f>
        <v>16188.748891619043</v>
      </c>
    </row>
    <row r="4" spans="1:12" x14ac:dyDescent="0.2">
      <c r="B4" s="42" t="s">
        <v>114</v>
      </c>
      <c r="C4" s="57">
        <f>6880*('2023 IR Data Book'!$A$5)</f>
        <v>1873.3322441866796</v>
      </c>
      <c r="D4" s="57">
        <f>13094*('2023 IR Data Book'!$A$5)</f>
        <v>3565.3215705494745</v>
      </c>
      <c r="E4" s="57">
        <f>50222*('2023 IR Data Book'!$A$5)</f>
        <v>13674.780809235963</v>
      </c>
      <c r="F4" s="57">
        <f>49544*('2023 IR Data Book'!$A$5)</f>
        <v>13490.170451451288</v>
      </c>
      <c r="G4" s="57">
        <f>832*('2023 IR Data Book'!$A$5)</f>
        <v>226.54250394815659</v>
      </c>
      <c r="H4" s="57">
        <f>835*('2023 IR Data Book'!$A$5)</f>
        <v>227.35936393835428</v>
      </c>
      <c r="I4" s="57">
        <f>3625.53123332726*(('2023 IR Data Book'!$A$5))</f>
        <v>987.18380257236288</v>
      </c>
      <c r="J4" s="57">
        <f>4466.90315531137*(('2023 IR Data Book'!$A$5))</f>
        <v>1216.2781558872107</v>
      </c>
      <c r="K4" s="57">
        <f>-378*(('2023 IR Data Book'!$A$5))</f>
        <v>-102.92435876490769</v>
      </c>
      <c r="L4" s="57">
        <f>-934.725333492155*((('2023 IR Data Book'!$A$5)))</f>
        <v>-254.51324225130833</v>
      </c>
    </row>
    <row r="5" spans="1:12" ht="15" x14ac:dyDescent="0.2">
      <c r="B5" s="43" t="s">
        <v>115</v>
      </c>
      <c r="C5" s="58">
        <f t="shared" ref="C5:H5" si="0">SUM(C3:C4)</f>
        <v>20687.523825083048</v>
      </c>
      <c r="D5" s="58">
        <f t="shared" si="0"/>
        <v>46945.488209987474</v>
      </c>
      <c r="E5" s="58">
        <f t="shared" si="0"/>
        <v>72250.993846321406</v>
      </c>
      <c r="F5" s="58">
        <f t="shared" si="0"/>
        <v>84890.268474650104</v>
      </c>
      <c r="G5" s="58">
        <f t="shared" si="0"/>
        <v>18391.595761463075</v>
      </c>
      <c r="H5" s="58">
        <f t="shared" si="0"/>
        <v>32921.9081849371</v>
      </c>
      <c r="I5" s="58">
        <f t="shared" ref="I5:J5" si="1">SUM(I3:I4)</f>
        <v>43567.705799327516</v>
      </c>
      <c r="J5" s="58">
        <f t="shared" si="1"/>
        <v>52050.620441105581</v>
      </c>
      <c r="K5" s="58">
        <f t="shared" ref="K5:L5" si="2">SUM(K3:K4)</f>
        <v>9552.3607253716709</v>
      </c>
      <c r="L5" s="58">
        <f t="shared" si="2"/>
        <v>15934.235649367734</v>
      </c>
    </row>
    <row r="6" spans="1:12" x14ac:dyDescent="0.2">
      <c r="B6" s="43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2" x14ac:dyDescent="0.2"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2" x14ac:dyDescent="0.2">
      <c r="B8" s="43" t="s">
        <v>116</v>
      </c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 x14ac:dyDescent="0.2">
      <c r="B9" s="44" t="s">
        <v>117</v>
      </c>
      <c r="C9" s="57">
        <f>30571*('2023 IR Data Book'!$A$5)</f>
        <v>8324.0755867777589</v>
      </c>
      <c r="D9" s="57">
        <f>61677*('2023 IR Data Book'!$A$5)</f>
        <v>16793.824538474106</v>
      </c>
      <c r="E9" s="57">
        <f>85002*('2023 IR Data Book'!$A$5)</f>
        <v>23144.910962261067</v>
      </c>
      <c r="F9" s="57">
        <f>111307*('2023 IR Data Book'!$A$5)</f>
        <v>30307.411642977724</v>
      </c>
      <c r="G9" s="57">
        <f>27620*('2023 IR Data Book'!$A$5)</f>
        <v>7520.5576430866413</v>
      </c>
      <c r="H9" s="57">
        <f>55985*('2023 IR Data Book'!$A$5)</f>
        <v>15243.968850405707</v>
      </c>
      <c r="I9" s="57">
        <f>84910.4747890224*(('2023 IR Data Book'!$A$5))</f>
        <v>23119.989867947064</v>
      </c>
      <c r="J9" s="57">
        <f>116718.385997847*(('2023 IR Data Book'!$A$5))</f>
        <v>31780.859880696778</v>
      </c>
      <c r="K9" s="57">
        <f>27880*(('2023 IR Data Book'!$A$5))</f>
        <v>7591.3521755704405</v>
      </c>
      <c r="L9" s="57">
        <f>56012.0422289981*((('2023 IR Data Book'!$A$5)))</f>
        <v>15251.332088710476</v>
      </c>
    </row>
    <row r="10" spans="1:12" x14ac:dyDescent="0.2">
      <c r="B10" s="44" t="s">
        <v>118</v>
      </c>
      <c r="C10" s="57">
        <f>64487*('2023 IR Data Book'!$A$5)</f>
        <v>17558.950062625932</v>
      </c>
      <c r="D10" s="57">
        <f>131046*('2023 IR Data Book'!$A$5)</f>
        <v>35682.078091815063</v>
      </c>
      <c r="E10" s="57">
        <f>191720*('2023 IR Data Book'!$A$5)</f>
        <v>52202.799106899743</v>
      </c>
      <c r="F10" s="57">
        <f>254551*('2023 IR Data Book'!$A$5)</f>
        <v>69310.842454936559</v>
      </c>
      <c r="G10" s="57">
        <f>66011*('2023 IR Data Book'!$A$5)</f>
        <v>17973.914937646354</v>
      </c>
      <c r="H10" s="57">
        <f>129606*('2023 IR Data Book'!$A$5)</f>
        <v>35289.985296520172</v>
      </c>
      <c r="I10" s="57">
        <f>190683.705115401*(('2023 IR Data Book'!$A$5))</f>
        <v>51920.629830474594</v>
      </c>
      <c r="J10" s="57">
        <f>248907.680572888*(('2023 IR Data Book'!$A$5))</f>
        <v>67774.241837632188</v>
      </c>
      <c r="K10" s="57">
        <f>59381*(('2023 IR Data Book'!$A$5))</f>
        <v>16168.654359309479</v>
      </c>
      <c r="L10" s="57">
        <f>118906.009556178*((('2023 IR Data Book'!$A$5)))</f>
        <v>32376.520600168271</v>
      </c>
    </row>
    <row r="11" spans="1:12" x14ac:dyDescent="0.2">
      <c r="B11" s="44" t="s">
        <v>119</v>
      </c>
      <c r="C11" s="57">
        <f>2222*('2023 IR Data Book'!$A$5)</f>
        <v>605.02096607308169</v>
      </c>
      <c r="D11" s="57">
        <f>4442*('2023 IR Data Book'!$A$5)</f>
        <v>1209.497358819365</v>
      </c>
      <c r="E11" s="57">
        <f>4371*('2023 IR Data Book'!$A$5)</f>
        <v>1190.1650057180198</v>
      </c>
      <c r="F11" s="57">
        <f>5064*('2023 IR Data Book'!$A$5)</f>
        <v>1378.8596634536839</v>
      </c>
      <c r="G11" s="57">
        <f>692*('2023 IR Data Book'!$A$5)</f>
        <v>188.42237107226487</v>
      </c>
      <c r="H11" s="57">
        <f>1383*('2023 IR Data Book'!$A$5)</f>
        <v>376.57245548113053</v>
      </c>
      <c r="I11" s="57">
        <f>2071.70134298803*(('2023 IR Data Book'!$A$5))</f>
        <v>564.09664624190759</v>
      </c>
      <c r="J11" s="57">
        <f>5008.2679770988*(('2023 IR Data Book'!$A$5))</f>
        <v>1363.6845768934268</v>
      </c>
      <c r="K11" s="57">
        <f>3398*(('2023 IR Data Book'!$A$5))</f>
        <v>925.23008223057229</v>
      </c>
      <c r="L11" s="57">
        <f>6784.06975706258*((('2023 IR Data Book'!$A$5)))</f>
        <v>1847.2117184181723</v>
      </c>
    </row>
    <row r="12" spans="1:12" x14ac:dyDescent="0.2">
      <c r="B12" s="44" t="s">
        <v>120</v>
      </c>
      <c r="C12" s="57">
        <f>8206*('2023 IR Data Book'!$A$5)</f>
        <v>2234.3843598540543</v>
      </c>
      <c r="D12" s="57">
        <f>22690*('2023 IR Data Book'!$A$5)</f>
        <v>6178.1843925284538</v>
      </c>
      <c r="E12" s="57">
        <f>26981*('2023 IR Data Book'!$A$5)</f>
        <v>7346.5664651745356</v>
      </c>
      <c r="F12" s="57">
        <f>33813*('2023 IR Data Book'!$A$5)</f>
        <v>9206.8289495180525</v>
      </c>
      <c r="G12" s="57">
        <f>6035*('2023 IR Data Book'!$A$5)</f>
        <v>1643.2500136143331</v>
      </c>
      <c r="H12" s="57">
        <f>17071*('2023 IR Data Book'!$A$5)</f>
        <v>4648.2056308881993</v>
      </c>
      <c r="I12" s="57">
        <f>25399.0220645702*(('2023 IR Data Book'!$A$5))</f>
        <v>6915.814971565158</v>
      </c>
      <c r="J12" s="57">
        <f>35066.073473054*(('2023 IR Data Book'!$A$5))</f>
        <v>9548.0241444900057</v>
      </c>
      <c r="K12" s="57">
        <f>6861*(('2023 IR Data Book'!$A$5))</f>
        <v>1868.1587975820944</v>
      </c>
      <c r="L12" s="57">
        <f>14902.9169305832*((('2023 IR Data Book'!$A$5)))</f>
        <v>4057.8655259443444</v>
      </c>
    </row>
    <row r="13" spans="1:12" x14ac:dyDescent="0.2">
      <c r="B13" s="44" t="s">
        <v>121</v>
      </c>
      <c r="C13" s="57">
        <f>3787*('2023 IR Data Book'!$A$5)</f>
        <v>1031.1495942928714</v>
      </c>
      <c r="D13" s="57">
        <f>13626*('2023 IR Data Book'!$A$5)</f>
        <v>3710.1780754778629</v>
      </c>
      <c r="E13" s="57">
        <f>17804*('2023 IR Data Book'!$A$5)</f>
        <v>4847.7917551598321</v>
      </c>
      <c r="F13" s="57">
        <f>15760*('2023 IR Data Book'!$A$5)</f>
        <v>4291.2378151718131</v>
      </c>
      <c r="G13" s="57">
        <f>4942*('2023 IR Data Book'!$A$5)</f>
        <v>1345.6406905189783</v>
      </c>
      <c r="H13" s="57">
        <f>9760*('2023 IR Data Book'!$A$5)</f>
        <v>2657.5178347764527</v>
      </c>
      <c r="I13" s="57">
        <f>13128.1258975919*(('2023 IR Data Book'!$A$5))</f>
        <v>3574.6135973402766</v>
      </c>
      <c r="J13" s="57">
        <f>15493.0549690409*(('2023 IR Data Book'!$A$5))</f>
        <v>4218.5522433809565</v>
      </c>
      <c r="K13" s="57">
        <f>13019*(('2023 IR Data Book'!$A$5))</f>
        <v>3544.9000707945324</v>
      </c>
      <c r="L13" s="57">
        <f>13725.9425735088*((('2023 IR Data Book'!$A$5)))</f>
        <v>3737.391105350106</v>
      </c>
    </row>
    <row r="14" spans="1:12" x14ac:dyDescent="0.2">
      <c r="B14" s="44" t="s">
        <v>122</v>
      </c>
      <c r="C14" s="57">
        <f>1295*('2023 IR Data Book'!$A$5)</f>
        <v>352.61122910199856</v>
      </c>
      <c r="D14" s="57">
        <f>3502*('2023 IR Data Book'!$A$5)</f>
        <v>953.54789522409192</v>
      </c>
      <c r="E14" s="57">
        <f>(10624-5047)*('2023 IR Data Book'!$A$5)</f>
        <v>1518.5427217774873</v>
      </c>
      <c r="F14" s="57">
        <f>6906*('2023 IR Data Book'!$A$5)</f>
        <v>1880.4116974350595</v>
      </c>
      <c r="G14" s="57">
        <f>1523*('2023 IR Data Book'!$A$5)</f>
        <v>414.69258835702226</v>
      </c>
      <c r="H14" s="57">
        <f>3532*('2023 IR Data Book'!$A$5)</f>
        <v>961.71649512606871</v>
      </c>
      <c r="I14" s="57">
        <f>7151.95334604811*(('2023 IR Data Book'!$A$5))</f>
        <v>1947.3815133823748</v>
      </c>
      <c r="J14" s="57">
        <f>21497.4551751129*(('2023 IR Data Book'!$A$5))</f>
        <v>5853.4703412059298</v>
      </c>
      <c r="K14" s="57">
        <f>(18787-2436)*(('2023 IR Data Book'!$A$5))</f>
        <v>4452.1592332407554</v>
      </c>
      <c r="L14" s="57">
        <f>34561.6140347325*((('2023 IR Data Book'!$A$5)))</f>
        <v>9410.6665672091967</v>
      </c>
    </row>
    <row r="15" spans="1:12" x14ac:dyDescent="0.2">
      <c r="B15" s="44" t="s">
        <v>123</v>
      </c>
      <c r="C15" s="57">
        <f>12450*('2023 IR Data Book'!$A$5)</f>
        <v>3389.9689593203725</v>
      </c>
      <c r="D15" s="57">
        <f>24823*('2023 IR Data Book'!$A$5)</f>
        <v>6758.9718455590046</v>
      </c>
      <c r="E15" s="57">
        <f>35784*('2023 IR Data Book'!$A$5)</f>
        <v>9743.5059630779288</v>
      </c>
      <c r="F15" s="57">
        <f>47106*('2023 IR Data Book'!$A$5)</f>
        <v>12826.335566083973</v>
      </c>
      <c r="G15" s="57">
        <f>10353*('2023 IR Data Book'!$A$5)</f>
        <v>2818.9838261721939</v>
      </c>
      <c r="H15" s="57">
        <f>22724*('2023 IR Data Book'!$A$5)</f>
        <v>6187.4421390840271</v>
      </c>
      <c r="I15" s="57">
        <f>34714.0856193912*(('2023 IR Data Book'!$A$5))</f>
        <v>9452.1825462591059</v>
      </c>
      <c r="J15" s="57">
        <f>46504.5748904509*(('2023 IR Data Book'!$A$5))</f>
        <v>12662.575529720334</v>
      </c>
      <c r="K15" s="57">
        <f>11734*(('2023 IR Data Book'!$A$5))</f>
        <v>3195.0117083265259</v>
      </c>
      <c r="L15" s="57">
        <f>24305.8386138711*((('2023 IR Data Book'!$A$5)))</f>
        <v>6618.1556972910466</v>
      </c>
    </row>
    <row r="16" spans="1:12" x14ac:dyDescent="0.2">
      <c r="B16" s="44" t="s">
        <v>124</v>
      </c>
      <c r="C16" s="57">
        <f>-2685*('2023 IR Data Book'!$A$5)</f>
        <v>-731.08969122692372</v>
      </c>
      <c r="D16" s="57">
        <f>-7293*('2023 IR Data Book'!$A$5)</f>
        <v>-1985.7866361705603</v>
      </c>
      <c r="E16" s="57">
        <f>-9205*('2023 IR Data Book'!$A$5)</f>
        <v>-2506.3987365898815</v>
      </c>
      <c r="F16" s="57">
        <f>-10232*('2023 IR Data Book'!$A$5)</f>
        <v>-2786.0371399008877</v>
      </c>
      <c r="G16" s="57">
        <f>-3556*('2023 IR Data Book'!$A$5)</f>
        <v>-968.25137504765007</v>
      </c>
      <c r="H16" s="57">
        <f>-7720*('2023 IR Data Book'!$A$5)</f>
        <v>-2102.05304144203</v>
      </c>
      <c r="I16" s="57">
        <f>-8664.694177561*(('2023 IR Data Book'!$A$5))</f>
        <v>-2359.280666982791</v>
      </c>
      <c r="J16" s="57">
        <f>-9203.47263576387*(('2023 IR Data Book'!$A$5))</f>
        <v>-2505.9828556782304</v>
      </c>
      <c r="K16" s="57">
        <f>-490*(('2023 IR Data Book'!$A$5))</f>
        <v>-133.42046506562107</v>
      </c>
      <c r="L16" s="57">
        <f>-2456.91341653989*((('2023 IR Data Book'!$A$5)))</f>
        <v>-668.98475645044107</v>
      </c>
    </row>
    <row r="17" spans="2:13" x14ac:dyDescent="0.2">
      <c r="B17" s="44" t="s">
        <v>125</v>
      </c>
      <c r="C17" s="57">
        <f>0*('2023 IR Data Book'!$A$5)</f>
        <v>0</v>
      </c>
      <c r="D17" s="57">
        <f>0*('2023 IR Data Book'!$A$5)</f>
        <v>0</v>
      </c>
      <c r="E17" s="57">
        <f>0*('2023 IR Data Book'!$A$5)</f>
        <v>0</v>
      </c>
      <c r="F17" s="57">
        <f>2975*('2023 IR Data Book'!$A$5)</f>
        <v>810.0528236126994</v>
      </c>
      <c r="G17" s="57">
        <f>0*('2023 IR Data Book'!$A$5)</f>
        <v>0</v>
      </c>
      <c r="H17" s="57">
        <f>0*('2023 IR Data Book'!$A$5)</f>
        <v>0</v>
      </c>
      <c r="I17" s="57">
        <f>0*(('2023 IR Data Book'!$A$5))</f>
        <v>0</v>
      </c>
      <c r="J17" s="57">
        <f>0*(('2023 IR Data Book'!$A$5))</f>
        <v>0</v>
      </c>
      <c r="K17" s="57">
        <f>0*(('2023 IR Data Book'!$A$5))</f>
        <v>0</v>
      </c>
      <c r="L17" s="57">
        <f>0*((('2023 IR Data Book'!$A$5)))</f>
        <v>0</v>
      </c>
    </row>
    <row r="18" spans="2:13" x14ac:dyDescent="0.2">
      <c r="B18" s="44" t="s">
        <v>126</v>
      </c>
      <c r="C18" s="57">
        <f>-1616*('2023 IR Data Book'!$A$5)</f>
        <v>-440.01524805315034</v>
      </c>
      <c r="D18" s="57">
        <f>-1824*('2023 IR Data Book'!$A$5)</f>
        <v>-496.65087404018948</v>
      </c>
      <c r="E18" s="57">
        <f>-1618*('2023 IR Data Book'!$A$5)</f>
        <v>-440.5598213799488</v>
      </c>
      <c r="F18" s="57">
        <f>-413*('2023 IR Data Book'!$A$5)</f>
        <v>-112.45439198388063</v>
      </c>
      <c r="G18" s="57">
        <f>4901*('2023 IR Data Book'!$A$5)</f>
        <v>1334.47693731961</v>
      </c>
      <c r="H18" s="57">
        <f>10897*('2023 IR Data Book'!$A$5)</f>
        <v>2967.1077710613731</v>
      </c>
      <c r="I18" s="57">
        <f>10570.1545938648*(('2023 IR Data Book'!$A$5))</f>
        <v>2878.1121259774545</v>
      </c>
      <c r="J18" s="57">
        <f>12143.5755278846*(('2023 IR Data Book'!$A$5))</f>
        <v>3306.5336622242007</v>
      </c>
      <c r="K18" s="57">
        <f>171*(('2023 IR Data Book'!$A$5))</f>
        <v>46.561019441267767</v>
      </c>
      <c r="L18" s="57">
        <f>101.235001725067*((('2023 IR Data Book'!$A$5)))</f>
        <v>27.564940838933449</v>
      </c>
    </row>
    <row r="19" spans="2:13" x14ac:dyDescent="0.2">
      <c r="B19" s="44" t="s">
        <v>127</v>
      </c>
      <c r="C19" s="57">
        <f>0*('2023 IR Data Book'!$A$5)</f>
        <v>0</v>
      </c>
      <c r="D19" s="57">
        <f>0*('2023 IR Data Book'!$A$5)</f>
        <v>0</v>
      </c>
      <c r="E19" s="57">
        <f>-31608*('2023 IR Data Book'!$A$5)</f>
        <v>-8606.4368567227575</v>
      </c>
      <c r="F19" s="57">
        <f>-31608*('2023 IR Data Book'!$A$5)</f>
        <v>-8606.4368567227575</v>
      </c>
      <c r="G19" s="57">
        <f>-800*('2023 IR Data Book'!$A$5)</f>
        <v>-217.82933071938135</v>
      </c>
      <c r="H19" s="57">
        <f>-800*('2023 IR Data Book'!$A$5)</f>
        <v>-217.82933071938135</v>
      </c>
      <c r="I19" s="57">
        <f>-2320.954659*(('2023 IR Data Book'!$A$5))</f>
        <v>-631.96499999999992</v>
      </c>
      <c r="J19" s="57">
        <f>-3514.549659*(('2023 IR Data Book'!$A$5))</f>
        <v>-956.96499999999992</v>
      </c>
      <c r="K19" s="57">
        <f>0*(('2023 IR Data Book'!$A$5))</f>
        <v>0</v>
      </c>
      <c r="L19" s="57">
        <f>0*((('2023 IR Data Book'!$A$5)))</f>
        <v>0</v>
      </c>
    </row>
    <row r="20" spans="2:13" x14ac:dyDescent="0.2">
      <c r="B20" s="44" t="s">
        <v>128</v>
      </c>
      <c r="C20" s="204">
        <f>0*('2023 IR Data Book'!$A$5)</f>
        <v>0</v>
      </c>
      <c r="D20" s="204">
        <f>0*('2023 IR Data Book'!$A$5)</f>
        <v>0</v>
      </c>
      <c r="E20" s="204">
        <f>0*('2023 IR Data Book'!$A$5)</f>
        <v>0</v>
      </c>
      <c r="F20" s="204">
        <f>-20812*('2023 IR Data Book'!$A$5)</f>
        <v>-5666.8300386647061</v>
      </c>
      <c r="G20" s="204">
        <f>0*('2023 IR Data Book'!$A$5)</f>
        <v>0</v>
      </c>
      <c r="H20" s="204">
        <f>0*('2023 IR Data Book'!$A$5)</f>
        <v>0</v>
      </c>
      <c r="I20" s="204">
        <f>-648*(('2023 IR Data Book'!$A$5))</f>
        <v>-176.44175788269891</v>
      </c>
      <c r="J20" s="204">
        <f>-1290.9115548*(('2023 IR Data Book'!$A$5))</f>
        <v>-351.49799999999999</v>
      </c>
      <c r="K20" s="204">
        <f>0*(('2023 IR Data Book'!$A$5))</f>
        <v>0</v>
      </c>
      <c r="L20" s="204">
        <f>0*((('2023 IR Data Book'!$A$5)))</f>
        <v>0</v>
      </c>
    </row>
    <row r="21" spans="2:13" x14ac:dyDescent="0.2">
      <c r="B21" s="44" t="s">
        <v>283</v>
      </c>
      <c r="C21" s="204"/>
      <c r="D21" s="204"/>
      <c r="E21" s="204"/>
      <c r="F21" s="204"/>
      <c r="G21" s="204"/>
      <c r="H21" s="204"/>
      <c r="I21" s="204"/>
      <c r="J21" s="204"/>
      <c r="K21" s="204">
        <f>-65*(('2023 IR Data Book'!$A$5))</f>
        <v>-17.698633120949737</v>
      </c>
      <c r="L21" s="204">
        <f>-676.2578736*((('2023 IR Data Book'!$A$5)))</f>
        <v>-184.136</v>
      </c>
    </row>
    <row r="22" spans="2:13" ht="15" x14ac:dyDescent="0.2">
      <c r="B22" s="44"/>
      <c r="C22" s="58">
        <f t="shared" ref="C22:H22" si="3">SUM(C5:C20)</f>
        <v>53012.579643849051</v>
      </c>
      <c r="D22" s="58">
        <f t="shared" si="3"/>
        <v>115749.33289767466</v>
      </c>
      <c r="E22" s="58">
        <f t="shared" si="3"/>
        <v>160691.88041169744</v>
      </c>
      <c r="F22" s="58">
        <f t="shared" si="3"/>
        <v>197730.49066056736</v>
      </c>
      <c r="G22" s="58">
        <f t="shared" si="3"/>
        <v>50445.454063483448</v>
      </c>
      <c r="H22" s="58">
        <f t="shared" si="3"/>
        <v>98934.542286118813</v>
      </c>
      <c r="I22" s="58">
        <f t="shared" ref="I22:J22" si="4">SUM(I5:I20)</f>
        <v>140772.83947364995</v>
      </c>
      <c r="J22" s="58">
        <f t="shared" si="4"/>
        <v>184744.11680167116</v>
      </c>
      <c r="K22" s="58">
        <f>SUM(K5:K21)</f>
        <v>47193.269073680764</v>
      </c>
      <c r="L22" s="58">
        <f>SUM(L5:L21)</f>
        <v>88407.82313684783</v>
      </c>
    </row>
    <row r="23" spans="2:13" x14ac:dyDescent="0.2"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210"/>
    </row>
    <row r="24" spans="2:13" x14ac:dyDescent="0.2">
      <c r="B24" s="43" t="s">
        <v>129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</row>
    <row r="25" spans="2:13" x14ac:dyDescent="0.2">
      <c r="B25" s="44" t="s">
        <v>130</v>
      </c>
      <c r="C25" s="57">
        <f>16527*('2023 IR Data Book'!$A$5)</f>
        <v>4500.0816859990191</v>
      </c>
      <c r="D25" s="57">
        <f>-60869*('2023 IR Data Book'!$A$5)</f>
        <v>-16573.816914447529</v>
      </c>
      <c r="E25" s="57">
        <f>-31519*('2023 IR Data Book'!$A$5)</f>
        <v>-8582.2033436802267</v>
      </c>
      <c r="F25" s="57">
        <f>-174292*('2023 IR Data Book'!$A$5)</f>
        <v>-47457.387137178019</v>
      </c>
      <c r="G25" s="57">
        <f>50503*('2023 IR Data Book'!$A$5)</f>
        <v>13751.293361651145</v>
      </c>
      <c r="H25" s="57">
        <f>65762*('2023 IR Data Book'!$A$5)</f>
        <v>17906.115558459947</v>
      </c>
      <c r="I25" s="57">
        <f>111542.267356377*(('2023 IR Data Book'!$A$5))</f>
        <v>30371.471806452373</v>
      </c>
      <c r="J25" s="57">
        <f>80056.9094076042*(('2023 IR Data Book'!$A$5))</f>
        <v>21798.428744650708</v>
      </c>
      <c r="K25" s="57">
        <f>3774*(('2023 IR Data Book'!$A$5))</f>
        <v>1027.6098676686815</v>
      </c>
      <c r="L25" s="57">
        <f>31618.0038329862*((('2023 IR Data Book'!$A$5)))</f>
        <v>8609.1607670277735</v>
      </c>
    </row>
    <row r="26" spans="2:13" x14ac:dyDescent="0.2">
      <c r="B26" s="44" t="s">
        <v>131</v>
      </c>
      <c r="C26" s="57">
        <f>-24343*('2023 IR Data Book'!$A$5)</f>
        <v>-6628.274247127375</v>
      </c>
      <c r="D26" s="57">
        <f>-5662*('2023 IR Data Book'!$A$5)</f>
        <v>-1541.6870881664215</v>
      </c>
      <c r="E26" s="57">
        <f>-31622*('2023 IR Data Book'!$A$5)</f>
        <v>-8610.2488700103459</v>
      </c>
      <c r="F26" s="57">
        <f>16676*('2023 IR Data Book'!$A$5)</f>
        <v>4540.6523988455046</v>
      </c>
      <c r="G26" s="57">
        <f>-32385.840330583*('2023 IR Data Book'!$A$5)</f>
        <v>-8818.2324049945546</v>
      </c>
      <c r="H26" s="57">
        <f>-76633*('2023 IR Data Book'!$A$5)</f>
        <v>-20866.143876272938</v>
      </c>
      <c r="I26" s="57">
        <f>-98661.5622864977*(('2023 IR Data Book'!$A$5))</f>
        <v>-26864.227600745438</v>
      </c>
      <c r="J26" s="57">
        <f>-26068.052600806*(('2023 IR Data Book'!$A$5))</f>
        <v>-7097.9830639889997</v>
      </c>
      <c r="K26" s="57">
        <f>-12651*(('2023 IR Data Book'!$A$5))</f>
        <v>-3444.6985786636169</v>
      </c>
      <c r="L26" s="57">
        <f>-15016.363902908*((('2023 IR Data Book'!$A$5)))</f>
        <v>-4088.7556235114089</v>
      </c>
      <c r="M26" s="28"/>
    </row>
    <row r="27" spans="2:13" x14ac:dyDescent="0.2">
      <c r="B27" s="44" t="s">
        <v>132</v>
      </c>
      <c r="C27" s="57">
        <f>-26200*('2023 IR Data Book'!$A$5)</f>
        <v>-7133.9105810597393</v>
      </c>
      <c r="D27" s="57">
        <f>-40096*('2023 IR Data Book'!$A$5)</f>
        <v>-10917.606055655393</v>
      </c>
      <c r="E27" s="57">
        <f>-34567*('2023 IR Data Book'!$A$5)</f>
        <v>-9412.1330937210696</v>
      </c>
      <c r="F27" s="57">
        <f>25240*('2023 IR Data Book'!$A$5)</f>
        <v>6872.515384196482</v>
      </c>
      <c r="G27" s="57">
        <f>-16854*('2023 IR Data Book'!$A$5)</f>
        <v>-4589.1194249305663</v>
      </c>
      <c r="H27" s="57">
        <f>-18635*('2023 IR Data Book'!$A$5)</f>
        <v>-5074.0619724445896</v>
      </c>
      <c r="I27" s="57">
        <f>12662.3772294495*(('2023 IR Data Book'!$A$5))</f>
        <v>3447.7964465091486</v>
      </c>
      <c r="J27" s="57">
        <f>17705.3256248682*(('2023 IR Data Book'!$A$5))</f>
        <v>4820.9240387921909</v>
      </c>
      <c r="K27" s="57">
        <f>-22887*(('2023 IR Data Book'!$A$5))</f>
        <v>-6231.824865218101</v>
      </c>
      <c r="L27" s="57">
        <f>-30546.4333182499*((('2023 IR Data Book'!$A$5)))</f>
        <v>-8317.3864069732335</v>
      </c>
    </row>
    <row r="28" spans="2:13" x14ac:dyDescent="0.2">
      <c r="B28" s="44" t="s">
        <v>133</v>
      </c>
      <c r="C28" s="57">
        <f>-121872*('2023 IR Data Book'!$A$5)</f>
        <v>-33184.120241790559</v>
      </c>
      <c r="D28" s="57">
        <f>-88003*('2023 IR Data Book'!$A$5)</f>
        <v>-23962.043239122147</v>
      </c>
      <c r="E28" s="57">
        <f>-120889*('2023 IR Data Book'!$A$5)</f>
        <v>-32916.462451669118</v>
      </c>
      <c r="F28" s="57">
        <f>-166484*('2023 IR Data Book'!$A$5)</f>
        <v>-45331.372869356856</v>
      </c>
      <c r="G28" s="57">
        <f>-49724*('2023 IR Data Book'!$A$5)</f>
        <v>-13539.182050863148</v>
      </c>
      <c r="H28" s="57">
        <f>-41966*('2023 IR Data Book'!$A$5)</f>
        <v>-11426.782116211947</v>
      </c>
      <c r="I28" s="57">
        <f>-119567.233277775*(('2023 IR Data Book'!$A$5))</f>
        <v>-32556.563001082337</v>
      </c>
      <c r="J28" s="57">
        <f>-114680.169806729*(('2023 IR Data Book'!$A$5))</f>
        <v>-31225.88079473098</v>
      </c>
      <c r="K28" s="57">
        <f>-(3700+10772)*(('2023 IR Data Book'!$A$5))</f>
        <v>-3940.5325927136087</v>
      </c>
      <c r="L28" s="57">
        <f>-81043.2219393493*((('2023 IR Data Book'!$A$5)))</f>
        <v>-22066.988492988428</v>
      </c>
    </row>
    <row r="29" spans="2:13" x14ac:dyDescent="0.2">
      <c r="B29" s="44" t="s">
        <v>284</v>
      </c>
      <c r="C29" s="57"/>
      <c r="D29" s="57"/>
      <c r="E29" s="57"/>
      <c r="F29" s="57"/>
      <c r="G29" s="57"/>
      <c r="H29" s="57"/>
      <c r="I29" s="57"/>
      <c r="J29" s="204"/>
      <c r="K29" s="204">
        <f>-1619*(('2023 IR Data Book'!$A$5))</f>
        <v>-440.832108043348</v>
      </c>
      <c r="L29" s="204">
        <f>-2449.39380892485*((('2023 IR Data Book'!$A$5)))</f>
        <v>-666.93726758287039</v>
      </c>
    </row>
    <row r="30" spans="2:13" x14ac:dyDescent="0.2">
      <c r="B30" s="44" t="s">
        <v>134</v>
      </c>
      <c r="C30" s="60">
        <f>0*('2023 IR Data Book'!$A$5)</f>
        <v>0</v>
      </c>
      <c r="D30" s="60">
        <f>0*('2023 IR Data Book'!$A$5)</f>
        <v>0</v>
      </c>
      <c r="E30" s="60">
        <f>18964*('2023 IR Data Book'!$A$5)</f>
        <v>5163.6442847029348</v>
      </c>
      <c r="F30" s="60">
        <f>18305*('2023 IR Data Book'!$A$5)</f>
        <v>4984.2073735228441</v>
      </c>
      <c r="G30" s="60">
        <f>0*('2023 IR Data Book'!$A$5)</f>
        <v>0</v>
      </c>
      <c r="H30" s="60">
        <f>0*('2023 IR Data Book'!$A$5)</f>
        <v>0</v>
      </c>
      <c r="I30" s="60">
        <f>-4434.73416298412*(('2023 IR Data Book'!$A$5))</f>
        <v>-1207.5189683015085</v>
      </c>
      <c r="J30" s="60">
        <f>10903.4345321512*(('2023 IR Data Book'!$A$5))</f>
        <v>2968.8598083513584</v>
      </c>
      <c r="K30" s="60">
        <f>0*(('2023 IR Data Book'!$A$5))</f>
        <v>0</v>
      </c>
      <c r="L30" s="60"/>
    </row>
    <row r="31" spans="2:13" x14ac:dyDescent="0.2">
      <c r="C31" s="61"/>
      <c r="D31" s="61"/>
      <c r="E31" s="61"/>
      <c r="F31" s="61"/>
      <c r="G31" s="61"/>
      <c r="H31" s="61"/>
      <c r="I31" s="61"/>
      <c r="J31" s="61"/>
      <c r="K31" s="61"/>
      <c r="L31" s="61"/>
    </row>
    <row r="32" spans="2:13" ht="25.5" x14ac:dyDescent="0.2">
      <c r="B32" s="45" t="s">
        <v>135</v>
      </c>
      <c r="C32" s="62">
        <f t="shared" ref="C32:H32" si="5">C22+SUM(C25:C30)</f>
        <v>10566.356259870401</v>
      </c>
      <c r="D32" s="62">
        <f t="shared" si="5"/>
        <v>62754.179600283169</v>
      </c>
      <c r="E32" s="62">
        <f t="shared" si="5"/>
        <v>106334.47693731962</v>
      </c>
      <c r="F32" s="62">
        <f t="shared" si="5"/>
        <v>121339.10581059732</v>
      </c>
      <c r="G32" s="62">
        <f t="shared" si="5"/>
        <v>37250.213544346327</v>
      </c>
      <c r="H32" s="62">
        <f t="shared" si="5"/>
        <v>79473.669879649286</v>
      </c>
      <c r="I32" s="62">
        <f t="shared" ref="I32:J32" si="6">I22+SUM(I25:I30)</f>
        <v>113963.79815648218</v>
      </c>
      <c r="J32" s="62">
        <f t="shared" si="6"/>
        <v>176008.46553474542</v>
      </c>
      <c r="K32" s="62">
        <f t="shared" ref="K32:L32" si="7">K22+SUM(K25:K30)</f>
        <v>34162.990796710772</v>
      </c>
      <c r="L32" s="62">
        <f t="shared" si="7"/>
        <v>61876.916112819657</v>
      </c>
    </row>
    <row r="33" spans="2:13" x14ac:dyDescent="0.2">
      <c r="C33" s="57"/>
      <c r="D33" s="57"/>
      <c r="E33" s="57"/>
      <c r="F33" s="57"/>
      <c r="G33" s="57"/>
      <c r="H33" s="57"/>
      <c r="I33" s="57"/>
      <c r="J33" s="57"/>
      <c r="K33" s="57"/>
      <c r="L33" s="57">
        <f>0*((('2023 IR Data Book'!$A$5)))</f>
        <v>0</v>
      </c>
    </row>
    <row r="34" spans="2:13" x14ac:dyDescent="0.2">
      <c r="B34" s="44" t="s">
        <v>136</v>
      </c>
      <c r="C34" s="59">
        <f>-4565*('2023 IR Data Book'!$A$5)</f>
        <v>-1242.9886184174698</v>
      </c>
      <c r="D34" s="59">
        <f>-19262*('2023 IR Data Book'!$A$5)</f>
        <v>-5244.785710395905</v>
      </c>
      <c r="E34" s="59">
        <f>-24728*('2023 IR Data Book'!$A$5)</f>
        <v>-6733.1046125360772</v>
      </c>
      <c r="F34" s="59">
        <f>-31732*('2023 IR Data Book'!$A$5)</f>
        <v>-8640.200402984261</v>
      </c>
      <c r="G34" s="59">
        <f>-6375*('2023 IR Data Book'!$A$5)</f>
        <v>-1735.8274791700701</v>
      </c>
      <c r="H34" s="59">
        <f>-12681*('2023 IR Data Book'!$A$5)</f>
        <v>-3452.8671785655938</v>
      </c>
      <c r="I34" s="59">
        <f>-18048.7065671711*(('2023 IR Data Book'!$A$5))</f>
        <v>-4914.4220898467292</v>
      </c>
      <c r="J34" s="59">
        <f>-20416.8205054182*(('2023 IR Data Book'!$A$5))</f>
        <v>-5559.2279326412345</v>
      </c>
      <c r="K34" s="59">
        <f>-6805*(('2023 IR Data Book'!$A$5))</f>
        <v>-1852.9107444317376</v>
      </c>
      <c r="L34" s="59">
        <f>-11805.1423609359*((('2023 IR Data Book'!$A$5)))</f>
        <v>-3214.3828244121059</v>
      </c>
    </row>
    <row r="35" spans="2:13" x14ac:dyDescent="0.2">
      <c r="B35" s="44" t="s">
        <v>137</v>
      </c>
      <c r="C35" s="59">
        <f>-23078*('2023 IR Data Book'!$A$5)</f>
        <v>-6283.8316179273534</v>
      </c>
      <c r="D35" s="59">
        <f>-49099*('2023 IR Data Book'!$A$5)</f>
        <v>-13369.002886238632</v>
      </c>
      <c r="E35" s="59">
        <f>-61465*('2023 IR Data Book'!$A$5)</f>
        <v>-16736.099765833467</v>
      </c>
      <c r="F35" s="59">
        <f>-96549*('2023 IR Data Book'!$A$5)</f>
        <v>-26289.005064531939</v>
      </c>
      <c r="G35" s="59">
        <f>-15971*('2023 IR Data Book'!$A$5)</f>
        <v>-4348.6903011490494</v>
      </c>
      <c r="H35" s="59">
        <f>-36928*('2023 IR Data Book'!$A$5)</f>
        <v>-10055.001906006642</v>
      </c>
      <c r="I35" s="59">
        <f>-45334.603918391*(('2023 IR Data Book'!$A$5))</f>
        <v>-12344.008037464195</v>
      </c>
      <c r="J35" s="59">
        <f>-58781.8263249087*(('2023 IR Data Book'!$A$5))</f>
        <v>-16005.507358522218</v>
      </c>
      <c r="K35" s="59">
        <f>-4201*(('2023 IR Data Book'!$A$5))</f>
        <v>-1143.8762729401512</v>
      </c>
      <c r="L35" s="59">
        <f>-16617.6608600986*((('2023 IR Data Book'!$A$5)))</f>
        <v>-4524.7674290961713</v>
      </c>
      <c r="M35" s="28"/>
    </row>
    <row r="36" spans="2:13" ht="15" x14ac:dyDescent="0.2">
      <c r="B36" s="43" t="s">
        <v>138</v>
      </c>
      <c r="C36" s="49">
        <f t="shared" ref="C36:H36" si="8">SUM(C32:C35)</f>
        <v>3039.5360235255775</v>
      </c>
      <c r="D36" s="49">
        <f t="shared" si="8"/>
        <v>44140.391003648634</v>
      </c>
      <c r="E36" s="49">
        <f t="shared" si="8"/>
        <v>82865.272558950077</v>
      </c>
      <c r="F36" s="49">
        <f t="shared" si="8"/>
        <v>86409.900343081114</v>
      </c>
      <c r="G36" s="49">
        <f t="shared" si="8"/>
        <v>31165.695764027208</v>
      </c>
      <c r="H36" s="49">
        <f t="shared" si="8"/>
        <v>65965.800795077055</v>
      </c>
      <c r="I36" s="49">
        <f t="shared" ref="I36:J36" si="9">SUM(I32:I35)</f>
        <v>96705.368029171252</v>
      </c>
      <c r="J36" s="49">
        <f t="shared" si="9"/>
        <v>154443.73024358199</v>
      </c>
      <c r="K36" s="49">
        <f t="shared" ref="K36:L36" si="10">SUM(K32:K35)</f>
        <v>31166.203779338884</v>
      </c>
      <c r="L36" s="49">
        <f t="shared" si="10"/>
        <v>54137.765859311381</v>
      </c>
    </row>
    <row r="37" spans="2:13" x14ac:dyDescent="0.2">
      <c r="C37" s="59"/>
      <c r="D37" s="59"/>
      <c r="E37" s="59"/>
      <c r="F37" s="59"/>
      <c r="G37" s="59"/>
      <c r="H37" s="59"/>
      <c r="I37" s="59"/>
      <c r="J37" s="59"/>
      <c r="K37" s="59"/>
      <c r="L37" s="59"/>
    </row>
    <row r="38" spans="2:13" x14ac:dyDescent="0.2">
      <c r="B38" s="40" t="s">
        <v>139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</row>
    <row r="39" spans="2:13" x14ac:dyDescent="0.2">
      <c r="B39" s="44" t="s">
        <v>140</v>
      </c>
      <c r="C39" s="59">
        <f>-34074*('2023 IR Data Book'!$A$5)</f>
        <v>-9277.8957686652502</v>
      </c>
      <c r="D39" s="59">
        <f>-63319*('2023 IR Data Book'!$A$5)</f>
        <v>-17240.919239775634</v>
      </c>
      <c r="E39" s="59">
        <f>-99376*('2023 IR Data Book'!$A$5)</f>
        <v>-27058.759461961552</v>
      </c>
      <c r="F39" s="59">
        <f>-128597*('2023 IR Data Book'!$A$5)</f>
        <v>-35015.248053150353</v>
      </c>
      <c r="G39" s="59">
        <f>-15766*('2023 IR Data Book'!$A$5)</f>
        <v>-4292.8715351522078</v>
      </c>
      <c r="H39" s="59">
        <f>-39025*('2023 IR Data Book'!$A$5)</f>
        <v>-10625.987039154821</v>
      </c>
      <c r="I39" s="59">
        <f>-52609.4286512622*(('2023 IR Data Book'!$A$5))</f>
        <v>-14324.845790791864</v>
      </c>
      <c r="J39" s="59">
        <f>-79140.8907876317*(('2023 IR Data Book'!$A$5))</f>
        <v>-21549.009091006832</v>
      </c>
      <c r="K39" s="59">
        <f>-20327*(('2023 IR Data Book'!$A$5))</f>
        <v>-5534.7710069160812</v>
      </c>
      <c r="L39" s="59">
        <f>-70419.057903089*((('2023 IR Data Book'!$A$5)))</f>
        <v>-19174.170316149048</v>
      </c>
    </row>
    <row r="40" spans="2:13" x14ac:dyDescent="0.2">
      <c r="B40" s="44" t="s">
        <v>141</v>
      </c>
      <c r="C40" s="59">
        <f>2634*('2023 IR Data Book'!$A$5)</f>
        <v>717.20307139356305</v>
      </c>
      <c r="D40" s="59">
        <f>2908*('2023 IR Data Book'!$A$5)</f>
        <v>791.80961716495119</v>
      </c>
      <c r="E40" s="59">
        <f>5654*('2023 IR Data Book'!$A$5)</f>
        <v>1539.5087948592277</v>
      </c>
      <c r="F40" s="59">
        <f>6277*('2023 IR Data Book'!$A$5)</f>
        <v>1709.143386156946</v>
      </c>
      <c r="G40" s="59">
        <f>708*('2023 IR Data Book'!$A$5)</f>
        <v>192.77895768665249</v>
      </c>
      <c r="H40" s="59">
        <f>1376*('2023 IR Data Book'!$A$5)</f>
        <v>374.66644883733591</v>
      </c>
      <c r="I40" s="59">
        <f>2138.54676555677*(('2023 IR Data Book'!$A$5))</f>
        <v>582.29776331666119</v>
      </c>
      <c r="J40" s="59">
        <f>3578.941980125*(('2023 IR Data Book'!$A$5))</f>
        <v>974.49817026765777</v>
      </c>
      <c r="K40" s="59">
        <f>1975*(('2023 IR Data Book'!$A$5))</f>
        <v>537.76616021347274</v>
      </c>
      <c r="L40" s="59">
        <f>6914.74816262396*((('2023 IR Data Book'!$A$5)))</f>
        <v>1882.7937054468114</v>
      </c>
    </row>
    <row r="41" spans="2:13" x14ac:dyDescent="0.2">
      <c r="B41" s="44" t="s">
        <v>142</v>
      </c>
      <c r="C41" s="59">
        <f>0*('2023 IR Data Book'!$A$5)</f>
        <v>0</v>
      </c>
      <c r="D41" s="59">
        <f>0*('2023 IR Data Book'!$A$5)</f>
        <v>0</v>
      </c>
      <c r="E41" s="59">
        <f>0*('2023 IR Data Book'!$A$5)</f>
        <v>0</v>
      </c>
      <c r="F41" s="59">
        <f>0*('2023 IR Data Book'!$A$5)</f>
        <v>0</v>
      </c>
      <c r="G41" s="59">
        <f>0*('2023 IR Data Book'!$A$5)</f>
        <v>0</v>
      </c>
      <c r="H41" s="59">
        <f>0*('2023 IR Data Book'!$A$5)</f>
        <v>0</v>
      </c>
      <c r="I41" s="59">
        <f>0*(('2023 IR Data Book'!$A$5))</f>
        <v>0</v>
      </c>
      <c r="J41" s="59">
        <f>0*(('2023 IR Data Book'!$A$5))</f>
        <v>0</v>
      </c>
      <c r="K41" s="59">
        <f>0*(('2023 IR Data Book'!$A$5))</f>
        <v>0</v>
      </c>
      <c r="L41" s="59">
        <f>0*((('2023 IR Data Book'!$A$5)))</f>
        <v>0</v>
      </c>
    </row>
    <row r="42" spans="2:13" x14ac:dyDescent="0.2">
      <c r="B42" s="44" t="s">
        <v>143</v>
      </c>
      <c r="C42" s="59">
        <f>2332*('2023 IR Data Book'!$A$5)</f>
        <v>634.97249904699663</v>
      </c>
      <c r="D42" s="59">
        <f>3855*('2023 IR Data Book'!$A$5)</f>
        <v>1049.665087404019</v>
      </c>
      <c r="E42" s="59">
        <f>5047*('2023 IR Data Book'!$A$5)</f>
        <v>1374.230790175897</v>
      </c>
      <c r="F42" s="59">
        <f>6406*('2023 IR Data Book'!$A$5)</f>
        <v>1744.2683657354462</v>
      </c>
      <c r="G42" s="59">
        <f>991*('2023 IR Data Book'!$A$5)</f>
        <v>269.83608342863363</v>
      </c>
      <c r="H42" s="59">
        <f>1996*('2023 IR Data Book'!$A$5)</f>
        <v>543.48418014485651</v>
      </c>
      <c r="I42" s="59">
        <f>2759.31684564848*(('2023 IR Data Book'!$A$5))</f>
        <v>751.32517716290363</v>
      </c>
      <c r="J42" s="59">
        <f>4932.79116562149*(('2023 IR Data Book'!$A$5))</f>
        <v>1343.1332477322578</v>
      </c>
      <c r="K42" s="59">
        <f>2436*(('2023 IR Data Book'!$A$5))</f>
        <v>663.29031204051626</v>
      </c>
      <c r="L42" s="59">
        <f>4285.25230496629*((('2023 IR Data Book'!$A$5)))</f>
        <v>1166.8170519431164</v>
      </c>
    </row>
    <row r="43" spans="2:13" x14ac:dyDescent="0.2">
      <c r="B43" s="44" t="s">
        <v>144</v>
      </c>
      <c r="C43" s="59">
        <f>-1535*('2023 IR Data Book'!$A$5)</f>
        <v>-417.960028317813</v>
      </c>
      <c r="D43" s="59">
        <f>662*('2023 IR Data Book'!$A$5)</f>
        <v>180.25377117028808</v>
      </c>
      <c r="E43" s="59">
        <f>250*('2023 IR Data Book'!$A$5)</f>
        <v>68.071665849806678</v>
      </c>
      <c r="F43" s="59">
        <f>-421*('2023 IR Data Book'!$A$5)</f>
        <v>-114.63268529107444</v>
      </c>
      <c r="G43" s="59">
        <f>165*('2023 IR Data Book'!$A$5)</f>
        <v>44.927299460872405</v>
      </c>
      <c r="H43" s="59">
        <f>360*('2023 IR Data Book'!$A$5)</f>
        <v>98.023198823721614</v>
      </c>
      <c r="I43" s="59">
        <f>1621.30920095115*(('2023 IR Data Book'!$A$5))</f>
        <v>441.46087266545493</v>
      </c>
      <c r="J43" s="59">
        <f>0.0484931206221972*(('2023 IR Data Book'!$A$5))</f>
        <v>1.3204030012034306E-2</v>
      </c>
      <c r="K43" s="59">
        <f>0.0484931206221972*(('2023 IR Data Book'!$A$5))</f>
        <v>1.3204030012034306E-2</v>
      </c>
      <c r="L43" s="59">
        <f>0*((('2023 IR Data Book'!$A$5)))</f>
        <v>0</v>
      </c>
    </row>
    <row r="44" spans="2:13" x14ac:dyDescent="0.2">
      <c r="B44" s="44" t="s">
        <v>145</v>
      </c>
      <c r="C44" s="59">
        <f>0*('2023 IR Data Book'!$A$5)</f>
        <v>0</v>
      </c>
      <c r="D44" s="59">
        <f>0*('2023 IR Data Book'!$A$5)</f>
        <v>0</v>
      </c>
      <c r="E44" s="59">
        <f>289566*('2023 IR Data Book'!$A$5)</f>
        <v>78844.959973860474</v>
      </c>
      <c r="F44" s="59">
        <f>289566*('2023 IR Data Book'!$A$5)</f>
        <v>78844.959973860474</v>
      </c>
      <c r="G44" s="59">
        <f>2545*('2023 IR Data Book'!$A$5)</f>
        <v>692.96955835103188</v>
      </c>
      <c r="H44" s="59">
        <f>2545*('2023 IR Data Book'!$A$5)</f>
        <v>692.96955835103188</v>
      </c>
      <c r="I44" s="59">
        <f>15255.943674*(('2023 IR Data Book'!$A$5))</f>
        <v>4153.99</v>
      </c>
      <c r="J44" s="59">
        <f>16449.538674*(('2023 IR Data Book'!$A$5))</f>
        <v>4478.99</v>
      </c>
      <c r="K44" s="59">
        <f>36083*(('2023 IR Data Book'!$A$5))</f>
        <v>9824.9196754342975</v>
      </c>
      <c r="L44" s="59">
        <f>36082.3125*((('2023 IR Data Book'!$A$5)))</f>
        <v>9824.7324783532094</v>
      </c>
    </row>
    <row r="45" spans="2:13" x14ac:dyDescent="0.2">
      <c r="B45" s="44" t="s">
        <v>146</v>
      </c>
      <c r="C45" s="59">
        <f>0*('2023 IR Data Book'!$A$5)</f>
        <v>0</v>
      </c>
      <c r="D45" s="59">
        <f>-4659*('2023 IR Data Book'!$A$5)</f>
        <v>-1268.5835647769973</v>
      </c>
      <c r="E45" s="59">
        <f>-5142*('2023 IR Data Book'!$A$5)</f>
        <v>-1400.0980231988237</v>
      </c>
      <c r="F45" s="59">
        <f>0*('2023 IR Data Book'!$A$5)</f>
        <v>0</v>
      </c>
      <c r="G45" s="59">
        <f>0*('2023 IR Data Book'!$A$5)</f>
        <v>0</v>
      </c>
      <c r="H45" s="59">
        <f>0*('2023 IR Data Book'!$A$5)</f>
        <v>0</v>
      </c>
      <c r="I45" s="59">
        <f>0*(('2023 IR Data Book'!$A$5))</f>
        <v>0</v>
      </c>
      <c r="J45" s="59">
        <f>0*(('2023 IR Data Book'!$A$5))</f>
        <v>0</v>
      </c>
      <c r="K45" s="59">
        <f>0*(('2023 IR Data Book'!$A$5))</f>
        <v>0</v>
      </c>
      <c r="L45" s="59">
        <f>0*((('2023 IR Data Book'!$A$5)))</f>
        <v>0</v>
      </c>
    </row>
    <row r="46" spans="2:13" x14ac:dyDescent="0.2">
      <c r="B46" s="44" t="s">
        <v>280</v>
      </c>
      <c r="C46" s="59"/>
      <c r="D46" s="59"/>
      <c r="E46" s="59"/>
      <c r="F46" s="59"/>
      <c r="G46" s="59"/>
      <c r="H46" s="59"/>
      <c r="I46" s="59">
        <f>0*(('2023 IR Data Book'!$A$5))</f>
        <v>0</v>
      </c>
      <c r="J46" s="59">
        <f>-943032.761036743*(('2023 IR Data Book'!$A$5))</f>
        <v>-256775.243978855</v>
      </c>
      <c r="K46" s="59">
        <f>0*(('2023 IR Data Book'!$A$5))</f>
        <v>0</v>
      </c>
      <c r="L46" s="59">
        <f>0*((('2023 IR Data Book'!$A$5)))</f>
        <v>0</v>
      </c>
    </row>
    <row r="47" spans="2:13" x14ac:dyDescent="0.2">
      <c r="B47" s="44" t="s">
        <v>147</v>
      </c>
      <c r="C47" s="59">
        <f>4557*('2023 IR Data Book'!$A$5)</f>
        <v>1240.8103251102759</v>
      </c>
      <c r="D47" s="59">
        <f>4557*('2023 IR Data Book'!$A$5)</f>
        <v>1240.8103251102759</v>
      </c>
      <c r="E47" s="59">
        <f>13209*('2023 IR Data Book'!$A$5)</f>
        <v>3596.6345368403854</v>
      </c>
      <c r="F47" s="59">
        <f>13209*('2023 IR Data Book'!$A$5)</f>
        <v>3596.6345368403854</v>
      </c>
      <c r="G47" s="59">
        <f>0*('2023 IR Data Book'!$A$5)</f>
        <v>0</v>
      </c>
      <c r="H47" s="59">
        <f>8728*('2023 IR Data Book'!$A$5)</f>
        <v>2376.5179981484507</v>
      </c>
      <c r="I47" s="59">
        <f>8729.19643474623*(('2023 IR Data Book'!$A$5))</f>
        <v>2376.8437713734766</v>
      </c>
      <c r="J47" s="59">
        <f>18208.7389425462*(('2023 IR Data Book'!$A$5))</f>
        <v>4957.9967713734677</v>
      </c>
      <c r="K47" s="59">
        <f>0*(('2023 IR Data Book'!$A$5))</f>
        <v>0</v>
      </c>
      <c r="L47" s="59">
        <v>0</v>
      </c>
    </row>
    <row r="48" spans="2:13" x14ac:dyDescent="0.2">
      <c r="B48" s="44" t="s">
        <v>148</v>
      </c>
      <c r="C48" s="59">
        <f>0*('2023 IR Data Book'!$A$5)</f>
        <v>0</v>
      </c>
      <c r="D48" s="59">
        <f>0*('2023 IR Data Book'!$A$5)</f>
        <v>0</v>
      </c>
      <c r="E48" s="59">
        <f>0*('2023 IR Data Book'!$A$5)</f>
        <v>0</v>
      </c>
      <c r="F48" s="59">
        <f>-4895*('2023 IR Data Book'!$A$5)</f>
        <v>-1332.8432173392146</v>
      </c>
      <c r="G48" s="59">
        <f>0*('2023 IR Data Book'!$A$5)</f>
        <v>0</v>
      </c>
      <c r="H48" s="59">
        <f>0*('2023 IR Data Book'!$A$5)</f>
        <v>0</v>
      </c>
      <c r="I48" s="59">
        <f>0*(('2023 IR Data Book'!$A$5))</f>
        <v>0</v>
      </c>
      <c r="J48" s="59">
        <f>-0.175270342850126*(('2023 IR Data Book'!$A$5))</f>
        <v>-4.7723776847499316E-2</v>
      </c>
      <c r="K48" s="59">
        <f>0*(('2023 IR Data Book'!$A$5))</f>
        <v>0</v>
      </c>
      <c r="L48" s="59">
        <f>0*((('2023 IR Data Book'!$A$5)))</f>
        <v>0</v>
      </c>
    </row>
    <row r="49" spans="2:14" x14ac:dyDescent="0.2">
      <c r="B49" s="44" t="s">
        <v>149</v>
      </c>
      <c r="C49" s="59">
        <f>218*('2023 IR Data Book'!$A$5)</f>
        <v>59.358492621031417</v>
      </c>
      <c r="D49" s="59">
        <f>964*('2023 IR Data Book'!$A$5)</f>
        <v>262.48434351685455</v>
      </c>
      <c r="E49" s="59">
        <f>1099*('2023 IR Data Book'!$A$5)</f>
        <v>299.24304307575011</v>
      </c>
      <c r="F49" s="59">
        <f>117*('2023 IR Data Book'!$A$5)</f>
        <v>31.857539617709524</v>
      </c>
      <c r="G49" s="59">
        <f>16*('2023 IR Data Book'!$A$5)</f>
        <v>4.3565866143876271</v>
      </c>
      <c r="H49" s="59">
        <f>196*('2023 IR Data Book'!$A$5)</f>
        <v>53.368186026248431</v>
      </c>
      <c r="I49" s="59">
        <f>332.485447093773*(('2023 IR Data Book'!$A$5))</f>
        <v>90.531353017963568</v>
      </c>
      <c r="J49" s="59">
        <f>-2184.69192783834*(('2023 IR Data Book'!$A$5))</f>
        <v>-594.86247558632567</v>
      </c>
      <c r="K49" s="59">
        <f>377*(('2023 IR Data Book'!$A$5))</f>
        <v>102.65207210150847</v>
      </c>
      <c r="L49" s="59">
        <f>103.057062464837*((('2023 IR Data Book'!$A$5)))</f>
        <v>28.061063678276152</v>
      </c>
    </row>
    <row r="50" spans="2:14" x14ac:dyDescent="0.2">
      <c r="B50" s="44" t="s">
        <v>150</v>
      </c>
      <c r="C50" s="59">
        <f>-2777*('2023 IR Data Book'!$A$5)</f>
        <v>-756.14006425965249</v>
      </c>
      <c r="D50" s="59">
        <f>-7758*('2023 IR Data Book'!$A$5)</f>
        <v>-2112.3999346512005</v>
      </c>
      <c r="E50" s="59">
        <f>0*('2023 IR Data Book'!$A$5)</f>
        <v>0</v>
      </c>
      <c r="F50" s="59">
        <f>-12132*('2023 IR Data Book'!$A$5)</f>
        <v>-3303.3818003594183</v>
      </c>
      <c r="G50" s="59">
        <f>-815*('2023 IR Data Book'!$A$5)</f>
        <v>-221.91363067036974</v>
      </c>
      <c r="H50" s="59">
        <f>2743*('2023 IR Data Book'!$A$5)</f>
        <v>746.88231770407879</v>
      </c>
      <c r="I50" s="59">
        <f>2753.51740387131*(('2023 IR Data Book'!$A$5))</f>
        <v>749.74606651181989</v>
      </c>
      <c r="J50" s="59">
        <f>3967.57154230902*(('2023 IR Data Book'!$A$5))</f>
        <v>1080.3168170530469</v>
      </c>
      <c r="K50" s="59">
        <f>-117*(('2023 IR Data Book'!$A$5))</f>
        <v>-31.857539617709524</v>
      </c>
      <c r="L50" s="59">
        <f>-120.309753082349*((('2023 IR Data Book'!$A$5)))</f>
        <v>-32.758741241177638</v>
      </c>
    </row>
    <row r="51" spans="2:14" x14ac:dyDescent="0.2">
      <c r="B51" s="44" t="s">
        <v>151</v>
      </c>
      <c r="C51" s="59">
        <f>410*('2023 IR Data Book'!$A$5)</f>
        <v>111.63753199368294</v>
      </c>
      <c r="D51" s="59">
        <f>190505*('2023 IR Data Book'!$A$5)</f>
        <v>51871.97081086968</v>
      </c>
      <c r="E51" s="59">
        <f>-120174*('2023 IR Data Book'!$A$5)</f>
        <v>-32721.77748733867</v>
      </c>
      <c r="F51" s="59">
        <f>(1901+195040)*('2023 IR Data Book'!$A$5)</f>
        <v>53624.407776507105</v>
      </c>
      <c r="G51" s="59">
        <f>128*('2023 IR Data Book'!$A$5)</f>
        <v>34.852692915101017</v>
      </c>
      <c r="H51" s="59">
        <f>45155*('2023 IR Data Book'!$A$5)</f>
        <v>12295.104285792082</v>
      </c>
      <c r="I51" s="59">
        <f>45142.2209088347*(('2023 IR Data Book'!$A$5))</f>
        <v>12291.624709697408</v>
      </c>
      <c r="J51" s="59">
        <f>45619.2415088347*(('2023 IR Data Book'!$A$5))</f>
        <v>12421.511057244103</v>
      </c>
      <c r="K51" s="59">
        <f>187*(('2023 IR Data Book'!$A$5))</f>
        <v>50.917606055655391</v>
      </c>
      <c r="L51" s="59">
        <f>304.596876848664*((('2023 IR Data Book'!$A$5)))</f>
        <v>82.937667278947885</v>
      </c>
    </row>
    <row r="52" spans="2:14" x14ac:dyDescent="0.2">
      <c r="B52" s="44" t="s">
        <v>152</v>
      </c>
      <c r="C52" s="59">
        <f>0*('2023 IR Data Book'!$A$5)</f>
        <v>0</v>
      </c>
      <c r="D52" s="59">
        <f>0*('2023 IR Data Book'!$A$5)</f>
        <v>0</v>
      </c>
      <c r="E52" s="59">
        <f>0*('2023 IR Data Book'!$A$5)</f>
        <v>0</v>
      </c>
      <c r="F52" s="59">
        <f>567*('2023 IR Data Book'!$A$5)</f>
        <v>154.38653814736153</v>
      </c>
      <c r="G52" s="59">
        <f>0*('2023 IR Data Book'!$A$5)</f>
        <v>0</v>
      </c>
      <c r="H52" s="59">
        <f>0*('2023 IR Data Book'!$A$5)</f>
        <v>0</v>
      </c>
      <c r="I52" s="59">
        <f>(0*('2023 IR Data Book'!$A$5))*(('2023 IR Data Book'!$A$5))</f>
        <v>0</v>
      </c>
      <c r="J52" s="59">
        <f>(0*('2023 IR Data Book'!$A$5))*(('2023 IR Data Book'!$A$5))</f>
        <v>0</v>
      </c>
      <c r="K52" s="59">
        <f>(0*('2023 IR Data Book'!$A$5))*(('2023 IR Data Book'!$A$5))</f>
        <v>0</v>
      </c>
      <c r="L52" s="59"/>
    </row>
    <row r="53" spans="2:14" ht="15" x14ac:dyDescent="0.2">
      <c r="B53" s="43" t="s">
        <v>153</v>
      </c>
      <c r="C53" s="49">
        <f t="shared" ref="C53:J53" si="11">SUM(C39:C52)</f>
        <v>-7688.0139410771653</v>
      </c>
      <c r="D53" s="49">
        <f t="shared" si="11"/>
        <v>34775.09121603224</v>
      </c>
      <c r="E53" s="49">
        <f t="shared" si="11"/>
        <v>24542.013832162495</v>
      </c>
      <c r="F53" s="49">
        <f t="shared" si="11"/>
        <v>99939.552360725371</v>
      </c>
      <c r="G53" s="49">
        <f t="shared" si="11"/>
        <v>-3275.0639873658984</v>
      </c>
      <c r="H53" s="49">
        <f t="shared" si="11"/>
        <v>6555.0291346729828</v>
      </c>
      <c r="I53" s="49">
        <f t="shared" si="11"/>
        <v>7112.9739229538236</v>
      </c>
      <c r="J53" s="49">
        <f t="shared" si="11"/>
        <v>-253662.70400152437</v>
      </c>
      <c r="K53" s="49">
        <f t="shared" ref="K53:L53" si="12">SUM(K39:K52)</f>
        <v>5612.9304833416727</v>
      </c>
      <c r="L53" s="49">
        <f t="shared" si="12"/>
        <v>-6221.5870906898626</v>
      </c>
      <c r="M53" s="146"/>
      <c r="N53" s="146"/>
    </row>
    <row r="54" spans="2:14" x14ac:dyDescent="0.2">
      <c r="C54" s="59"/>
      <c r="D54" s="59"/>
      <c r="E54" s="59"/>
      <c r="F54" s="59"/>
      <c r="G54" s="59"/>
      <c r="H54" s="59"/>
      <c r="I54" s="59"/>
      <c r="J54" s="59"/>
      <c r="K54" s="59"/>
      <c r="L54" s="59"/>
      <c r="N54" s="131"/>
    </row>
    <row r="55" spans="2:14" x14ac:dyDescent="0.2">
      <c r="B55" s="46"/>
      <c r="C55" s="51"/>
      <c r="D55" s="51"/>
      <c r="E55" s="51"/>
      <c r="F55" s="51"/>
      <c r="G55" s="51"/>
      <c r="H55" s="51"/>
      <c r="I55" s="51"/>
      <c r="J55" s="51"/>
      <c r="K55" s="51"/>
      <c r="L55" s="51"/>
    </row>
    <row r="56" spans="2:14" x14ac:dyDescent="0.2">
      <c r="B56" s="40" t="s">
        <v>154</v>
      </c>
      <c r="C56" s="51"/>
      <c r="D56" s="51"/>
      <c r="E56" s="51"/>
      <c r="F56" s="51"/>
      <c r="G56" s="51"/>
      <c r="H56" s="51"/>
      <c r="I56" s="51"/>
      <c r="J56" s="51"/>
      <c r="K56" s="51"/>
      <c r="L56" s="51">
        <f>0*((('2023 IR Data Book'!$A$5)))</f>
        <v>0</v>
      </c>
    </row>
    <row r="57" spans="2:14" x14ac:dyDescent="0.2">
      <c r="B57" s="46" t="s">
        <v>155</v>
      </c>
      <c r="C57" s="51">
        <f>-17726*('2023 IR Data Book'!$A$5)</f>
        <v>-4826.5533954146922</v>
      </c>
      <c r="D57" s="51">
        <f>-32563*('2023 IR Data Book'!$A$5)</f>
        <v>-8866.4706202690195</v>
      </c>
      <c r="E57" s="51">
        <f>-46408*('2023 IR Data Book'!$A$5)</f>
        <v>-12636.279475031311</v>
      </c>
      <c r="F57" s="51">
        <f>-60218*('2023 IR Data Book'!$A$5)</f>
        <v>-16396.558296574633</v>
      </c>
      <c r="G57" s="51">
        <f>-12262*('2023 IR Data Book'!$A$5)</f>
        <v>-3338.7790666013175</v>
      </c>
      <c r="H57" s="51">
        <f>-27657*('2023 IR Data Book'!$A$5)</f>
        <v>-7530.6322496324128</v>
      </c>
      <c r="I57" s="51">
        <f>-44033.9826625978*(('2023 IR Data Book'!$A$5))</f>
        <v>-11989.866215378152</v>
      </c>
      <c r="J57" s="51">
        <f>-60186.5962564553*(('2023 IR Data Book'!$A$5))</f>
        <v>-16388.0074760266</v>
      </c>
      <c r="K57" s="51">
        <f>-16030*(('2023 IR Data Book'!$A$5))</f>
        <v>-4364.7552142896038</v>
      </c>
      <c r="L57" s="51">
        <f>-46683.2525699299*((('2023 IR Data Book'!$A$5)))</f>
        <v>-12711.227078889588</v>
      </c>
    </row>
    <row r="58" spans="2:14" x14ac:dyDescent="0.2">
      <c r="B58" s="46" t="s">
        <v>156</v>
      </c>
      <c r="C58" s="51">
        <f>2166*('2023 IR Data Book'!$A$5)</f>
        <v>589.77291292272503</v>
      </c>
      <c r="D58" s="51">
        <f>2137*('2023 IR Data Book'!$A$5)</f>
        <v>581.87659968414744</v>
      </c>
      <c r="E58" s="51">
        <f>3043*('2023 IR Data Book'!$A$5)</f>
        <v>828.56831672384681</v>
      </c>
      <c r="F58" s="51">
        <f>4044*('2023 IR Data Book'!$A$5)</f>
        <v>1101.1272667864728</v>
      </c>
      <c r="G58" s="51">
        <f>1601*('2023 IR Data Book'!$A$5)</f>
        <v>435.93094810216195</v>
      </c>
      <c r="H58" s="51">
        <f>6110*('2023 IR Data Book'!$A$5)</f>
        <v>1663.6715133692751</v>
      </c>
      <c r="I58" s="51">
        <f>15464.6045364219*(('2023 IR Data Book'!$A$5))</f>
        <v>4210.8055700108644</v>
      </c>
      <c r="J58" s="51">
        <f>996033.540730966*(('2023 IR Data Book'!$A$5))</f>
        <v>271206.64943935251</v>
      </c>
      <c r="K58" s="51">
        <f>25482*(('2023 IR Data Book'!$A$5))</f>
        <v>6938.4087567390943</v>
      </c>
      <c r="L58" s="51">
        <f>-20227.3811784303*((('2023 IR Data Book'!$A$5)))</f>
        <v>-5507.6461303791048</v>
      </c>
    </row>
    <row r="59" spans="2:14" x14ac:dyDescent="0.2">
      <c r="B59" s="46" t="s">
        <v>157</v>
      </c>
      <c r="C59" s="51">
        <f>-160225*('2023 IR Data Book'!$A$5)</f>
        <v>-43627.130643141099</v>
      </c>
      <c r="D59" s="51">
        <f>-169019*('2023 IR Data Book'!$A$5)</f>
        <v>-46021.619561073894</v>
      </c>
      <c r="E59" s="51">
        <f>-286405*('2023 IR Data Book'!$A$5)</f>
        <v>-77984.261830855525</v>
      </c>
      <c r="F59" s="51">
        <f>-544203*('2023 IR Data Book'!$A$5)</f>
        <v>-148179.21908184935</v>
      </c>
      <c r="G59" s="51">
        <f>-2804*('2023 IR Data Book'!$A$5)</f>
        <v>-763.49180417143168</v>
      </c>
      <c r="H59" s="51">
        <f>-6930*('2023 IR Data Book'!$A$5)</f>
        <v>-1886.946577356641</v>
      </c>
      <c r="I59" s="51">
        <f>-16648.3220056357*(('2023 IR Data Book'!$A$5))</f>
        <v>-4533.1160501104659</v>
      </c>
      <c r="J59" s="51">
        <f>-24790.5194128191*(('2023 IR Data Book'!$A$5))</f>
        <v>-6750.1278148502688</v>
      </c>
      <c r="K59" s="51">
        <f>-18008*(('2023 IR Data Book'!$A$5))</f>
        <v>-4903.3382344932743</v>
      </c>
      <c r="L59" s="51">
        <f>27709.4666868058*((('2023 IR Data Book'!$A$5)))</f>
        <v>7544.9182287223766</v>
      </c>
    </row>
    <row r="60" spans="2:14" x14ac:dyDescent="0.2">
      <c r="B60" s="47" t="s">
        <v>158</v>
      </c>
      <c r="C60" s="51">
        <f>-80409*('2023 IR Data Book'!$A$5)</f>
        <v>-21894.298317268418</v>
      </c>
      <c r="D60" s="51">
        <f>-137113*('2023 IR Data Book'!$A$5)</f>
        <v>-37334.041278658173</v>
      </c>
      <c r="E60" s="51">
        <f>-188375*('2023 IR Data Book'!$A$5)</f>
        <v>-51292.000217829329</v>
      </c>
      <c r="F60" s="51">
        <f>-267254*('2023 IR Data Book'!$A$5)</f>
        <v>-72769.699940096936</v>
      </c>
      <c r="G60" s="51">
        <f>-82244*('2023 IR Data Book'!$A$5)</f>
        <v>-22393.944344606</v>
      </c>
      <c r="H60" s="51">
        <f>-146413*('2023 IR Data Book'!$A$5)</f>
        <v>-39866.307248270976</v>
      </c>
      <c r="I60" s="51">
        <f>-217221.814012158*(('2023 IR Data Book'!$A$5))</f>
        <v>-59146.602954897884</v>
      </c>
      <c r="J60" s="51">
        <f>-241793.14812273*(('2023 IR Data Book'!$A$5))</f>
        <v>-65837.049535133148</v>
      </c>
      <c r="K60" s="51">
        <f>-84606*(('2023 IR Data Book'!$A$5))</f>
        <v>-23037.085443554974</v>
      </c>
      <c r="L60" s="51">
        <f>-129436.380678725*((('2023 IR Data Book'!$A$5)))</f>
        <v>-35243.800217482167</v>
      </c>
    </row>
    <row r="61" spans="2:14" x14ac:dyDescent="0.2">
      <c r="B61" s="46" t="s">
        <v>159</v>
      </c>
      <c r="C61" s="51">
        <f>-1202*('2023 IR Data Book'!$A$5)</f>
        <v>-327.28856940587048</v>
      </c>
      <c r="D61" s="51">
        <f>-2395*('2023 IR Data Book'!$A$5)</f>
        <v>-652.12655884114793</v>
      </c>
      <c r="E61" s="51">
        <f>-2389*('2023 IR Data Book'!$A$5)</f>
        <v>-650.49283886075261</v>
      </c>
      <c r="F61" s="51">
        <f>-2654*('2023 IR Data Book'!$A$5)</f>
        <v>-722.64880466154762</v>
      </c>
      <c r="G61" s="51">
        <f>-449*('2023 IR Data Book'!$A$5)</f>
        <v>-122.25671186625279</v>
      </c>
      <c r="H61" s="51">
        <f>-740*('2023 IR Data Book'!$A$5)</f>
        <v>-201.49213091542777</v>
      </c>
      <c r="I61" s="51">
        <f>-227.886074387136*(('2023 IR Data Book'!$A$5))</f>
        <v>-62.050338830021239</v>
      </c>
      <c r="J61" s="51">
        <f>-222.952795800571*(('2023 IR Data Book'!$A$5))</f>
        <v>-60.707072864066603</v>
      </c>
      <c r="K61" s="51">
        <f>0*(('2023 IR Data Book'!$A$5))</f>
        <v>0</v>
      </c>
      <c r="L61" s="51">
        <f>-7639.01166936051*((('2023 IR Data Book'!$A$5)))</f>
        <v>-2080.00099911793</v>
      </c>
    </row>
    <row r="62" spans="2:14" x14ac:dyDescent="0.2">
      <c r="B62" s="48" t="s">
        <v>160</v>
      </c>
      <c r="C62" s="51">
        <f>0*('2023 IR Data Book'!$A$5)</f>
        <v>0</v>
      </c>
      <c r="D62" s="51">
        <f>0*('2023 IR Data Book'!$A$5)</f>
        <v>0</v>
      </c>
      <c r="E62" s="51">
        <f>0*('2023 IR Data Book'!$A$5)</f>
        <v>0</v>
      </c>
      <c r="F62" s="51">
        <f>0*('2023 IR Data Book'!$A$5)</f>
        <v>0</v>
      </c>
      <c r="G62" s="51">
        <f>0*('2023 IR Data Book'!$A$5)</f>
        <v>0</v>
      </c>
      <c r="H62" s="51">
        <f>0*('2023 IR Data Book'!$A$5)</f>
        <v>0</v>
      </c>
      <c r="I62" s="51">
        <f>0*(('2023 IR Data Book'!$A$5))</f>
        <v>0</v>
      </c>
      <c r="J62" s="51">
        <f>0*(('2023 IR Data Book'!$A$5))</f>
        <v>0</v>
      </c>
      <c r="K62" s="51">
        <f>0*(('2023 IR Data Book'!$A$5))</f>
        <v>0</v>
      </c>
      <c r="L62" s="51">
        <f>0*((('2023 IR Data Book'!$A$5)))</f>
        <v>0</v>
      </c>
    </row>
    <row r="63" spans="2:14" x14ac:dyDescent="0.2">
      <c r="B63" s="48" t="s">
        <v>161</v>
      </c>
      <c r="C63" s="51">
        <f>0*('2023 IR Data Book'!$A$5)</f>
        <v>0</v>
      </c>
      <c r="D63" s="51">
        <f>-190333*('2023 IR Data Book'!$A$5)</f>
        <v>-51825.137504765014</v>
      </c>
      <c r="E63" s="51">
        <f>-190333*('2023 IR Data Book'!$A$5)</f>
        <v>-51825.137504765014</v>
      </c>
      <c r="F63" s="51">
        <f>(E63)*('2023 IR Data Book'!$A$5)</f>
        <v>-14111.29377137859</v>
      </c>
      <c r="G63" s="51">
        <f>0*('2023 IR Data Book'!$A$5)</f>
        <v>0</v>
      </c>
      <c r="H63" s="51">
        <f>-190333*('2023 IR Data Book'!$A$5)</f>
        <v>-51825.137504765014</v>
      </c>
      <c r="I63" s="51">
        <f>-190333*(('2023 IR Data Book'!$A$5))</f>
        <v>-51825.137504765014</v>
      </c>
      <c r="J63" s="51">
        <f>-190333*(('2023 IR Data Book'!$A$5))</f>
        <v>-51825.137504765014</v>
      </c>
      <c r="K63" s="51">
        <f>0*(('2023 IR Data Book'!$A$5))</f>
        <v>0</v>
      </c>
      <c r="L63" s="51">
        <f>-139579.876*((('2023 IR Data Book'!$A$5)))</f>
        <v>-38005.738713717794</v>
      </c>
    </row>
    <row r="64" spans="2:14" ht="15" x14ac:dyDescent="0.25">
      <c r="B64" s="43" t="s">
        <v>162</v>
      </c>
      <c r="C64" s="50">
        <f t="shared" ref="C64:H64" si="13">SUM(C57:C63)</f>
        <v>-70085.498012307347</v>
      </c>
      <c r="D64" s="50">
        <f t="shared" si="13"/>
        <v>-144117.51892392311</v>
      </c>
      <c r="E64" s="50">
        <f t="shared" si="13"/>
        <v>-193559.60355061808</v>
      </c>
      <c r="F64" s="50">
        <f t="shared" si="13"/>
        <v>-251078.29262777459</v>
      </c>
      <c r="G64" s="50">
        <f t="shared" si="13"/>
        <v>-26182.540979142839</v>
      </c>
      <c r="H64" s="50">
        <f t="shared" si="13"/>
        <v>-99646.84419757119</v>
      </c>
      <c r="I64" s="50">
        <f t="shared" ref="I64:J64" si="14">SUM(I57:I63)</f>
        <v>-123345.96749397067</v>
      </c>
      <c r="J64" s="50">
        <f t="shared" si="14"/>
        <v>130345.62003571342</v>
      </c>
      <c r="K64" s="50">
        <f t="shared" ref="K64:L64" si="15">SUM(K57:K63)</f>
        <v>-25366.770135598759</v>
      </c>
      <c r="L64" s="50">
        <f t="shared" si="15"/>
        <v>-86003.494910864203</v>
      </c>
    </row>
    <row r="65" spans="2:13" x14ac:dyDescent="0.2">
      <c r="C65" s="28"/>
      <c r="D65" s="28"/>
      <c r="E65" s="28"/>
      <c r="F65" s="28"/>
      <c r="G65" s="28"/>
      <c r="H65" s="28"/>
      <c r="I65" s="28"/>
      <c r="J65" s="28"/>
      <c r="K65" s="28"/>
      <c r="L65" s="28"/>
    </row>
    <row r="66" spans="2:13" ht="15" x14ac:dyDescent="0.2">
      <c r="B66" s="43" t="s">
        <v>163</v>
      </c>
      <c r="C66" s="62">
        <f t="shared" ref="C66:J66" si="16">C36+C53+C64</f>
        <v>-74733.975929858934</v>
      </c>
      <c r="D66" s="62">
        <f t="shared" si="16"/>
        <v>-65202.036704242229</v>
      </c>
      <c r="E66" s="62">
        <f t="shared" si="16"/>
        <v>-86152.317159505503</v>
      </c>
      <c r="F66" s="62">
        <f t="shared" si="16"/>
        <v>-64728.839923968102</v>
      </c>
      <c r="G66" s="62">
        <f t="shared" si="16"/>
        <v>1708.0907975184709</v>
      </c>
      <c r="H66" s="62">
        <f t="shared" si="16"/>
        <v>-27126.014267821156</v>
      </c>
      <c r="I66" s="62">
        <f t="shared" si="16"/>
        <v>-19527.625541845598</v>
      </c>
      <c r="J66" s="62">
        <f t="shared" si="16"/>
        <v>31126.64627777104</v>
      </c>
      <c r="K66" s="62">
        <f t="shared" ref="K66:L66" si="17">K36+K53+K64</f>
        <v>11412.364127081797</v>
      </c>
      <c r="L66" s="62">
        <f t="shared" si="17"/>
        <v>-38087.316142242686</v>
      </c>
    </row>
    <row r="67" spans="2:13" x14ac:dyDescent="0.2">
      <c r="C67" s="56"/>
      <c r="D67" s="56"/>
      <c r="E67" s="56"/>
      <c r="F67" s="56"/>
      <c r="G67" s="56"/>
      <c r="H67" s="56"/>
      <c r="I67" s="56"/>
      <c r="J67" s="56"/>
      <c r="K67" s="56"/>
      <c r="L67" s="56"/>
    </row>
    <row r="68" spans="2:13" x14ac:dyDescent="0.2">
      <c r="B68" s="46" t="s">
        <v>164</v>
      </c>
      <c r="C68" s="59">
        <f>-8408*('2023 IR Data Book'!$A$5)</f>
        <v>-2289.3862658606981</v>
      </c>
      <c r="D68" s="59">
        <f>-10649*('2023 IR Data Book'!$A$5)</f>
        <v>-2899.5806785383652</v>
      </c>
      <c r="E68" s="59">
        <f>-7038*('2023 IR Data Book'!$A$5)</f>
        <v>-1916.3535370037575</v>
      </c>
      <c r="F68" s="59">
        <f>27490*('2023 IR Data Book'!$A$5)</f>
        <v>7485.1603768447421</v>
      </c>
      <c r="G68" s="59">
        <f>-16761*('2023 IR Data Book'!$A$5)</f>
        <v>-4563.7967652344387</v>
      </c>
      <c r="H68" s="59">
        <f>-14043*('2023 IR Data Book'!$A$5)</f>
        <v>-3823.7216141153403</v>
      </c>
      <c r="I68" s="59">
        <f>-19654.6841143637*(('2023 IR Data Book'!$A$5))</f>
        <v>-5351.708357665877</v>
      </c>
      <c r="J68" s="59">
        <f>-45402.2242123379*(('2023 IR Data Book'!$A$5))</f>
        <v>-12362.420141681068</v>
      </c>
      <c r="K68" s="59">
        <f>1394*(('2023 IR Data Book'!$A$5))</f>
        <v>379.56760877852201</v>
      </c>
      <c r="L68" s="59">
        <f>-974.252448109353*((('2023 IR Data Book'!$A$5)))</f>
        <v>-265.27594840422398</v>
      </c>
    </row>
    <row r="69" spans="2:13" x14ac:dyDescent="0.2">
      <c r="B69" s="46" t="s">
        <v>165</v>
      </c>
      <c r="C69" s="60">
        <f>907428*('2023 IR Data Book'!$A$5)</f>
        <v>247080.54239503347</v>
      </c>
      <c r="D69" s="60">
        <f>907428*('2023 IR Data Book'!$A$5)</f>
        <v>247080.54239503347</v>
      </c>
      <c r="E69" s="60">
        <f>955649*('2023 IR Data Book'!$A$5)</f>
        <v>260210.4775908076</v>
      </c>
      <c r="F69" s="60">
        <f>907428*('2023 IR Data Book'!$A$5)</f>
        <v>247080.54239503347</v>
      </c>
      <c r="G69" s="60">
        <f>558687*('2023 IR Data Book'!$A$5)</f>
        <v>152123.01911452378</v>
      </c>
      <c r="H69" s="60">
        <f>558687*('2023 IR Data Book'!$A$5)</f>
        <v>152123.01911452378</v>
      </c>
      <c r="I69" s="60">
        <f>558686.612170299*(('2023 IR Data Book'!$A$5))</f>
        <v>152122.91351366852</v>
      </c>
      <c r="J69" s="60">
        <f>558686.612170299*(('2023 IR Data Book'!$A$5))</f>
        <v>152122.91351366852</v>
      </c>
      <c r="K69" s="60">
        <f>627600*(('2023 IR Data Book'!$A$5))</f>
        <v>170887.10994935466</v>
      </c>
      <c r="L69" s="60">
        <f>627600.108306456*((('2023 IR Data Book'!$A$5)))</f>
        <v>170887.1394397582</v>
      </c>
    </row>
    <row r="70" spans="2:13" ht="15" x14ac:dyDescent="0.2">
      <c r="B70" s="43" t="s">
        <v>166</v>
      </c>
      <c r="C70" s="49">
        <f t="shared" ref="C70:H70" si="18">C66+C68+C69</f>
        <v>170057.18019931385</v>
      </c>
      <c r="D70" s="49">
        <f t="shared" si="18"/>
        <v>178978.92501225288</v>
      </c>
      <c r="E70" s="49">
        <f t="shared" si="18"/>
        <v>172141.80689429835</v>
      </c>
      <c r="F70" s="49">
        <f t="shared" si="18"/>
        <v>189836.86284791009</v>
      </c>
      <c r="G70" s="49">
        <f t="shared" si="18"/>
        <v>149267.31314680781</v>
      </c>
      <c r="H70" s="49">
        <f t="shared" si="18"/>
        <v>121173.28323258727</v>
      </c>
      <c r="I70" s="49">
        <f t="shared" ref="I70:J70" si="19">I66+I68+I69</f>
        <v>127243.57961415705</v>
      </c>
      <c r="J70" s="49">
        <f t="shared" si="19"/>
        <v>170887.13964975849</v>
      </c>
      <c r="K70" s="49">
        <f t="shared" ref="K70:L70" si="20">K66+K68+K69</f>
        <v>182679.04168521499</v>
      </c>
      <c r="L70" s="49">
        <f t="shared" si="20"/>
        <v>132534.54734911129</v>
      </c>
      <c r="M70" s="28"/>
    </row>
    <row r="71" spans="2:13" x14ac:dyDescent="0.2">
      <c r="C71" s="63"/>
      <c r="D71" s="63"/>
      <c r="E71" s="63"/>
      <c r="F71" s="63"/>
      <c r="G71" s="63"/>
      <c r="H71" s="57"/>
      <c r="I71" s="57"/>
      <c r="J71" s="57"/>
      <c r="K71" s="57"/>
      <c r="L71" s="57"/>
    </row>
    <row r="72" spans="2:13" x14ac:dyDescent="0.2">
      <c r="C72" s="63"/>
      <c r="D72" s="63"/>
      <c r="E72" s="63"/>
      <c r="F72" s="63"/>
      <c r="G72" s="63"/>
      <c r="H72" s="57"/>
      <c r="I72" s="57"/>
      <c r="J72" s="57"/>
      <c r="K72" s="57"/>
      <c r="L72" s="57"/>
    </row>
    <row r="73" spans="2:13" x14ac:dyDescent="0.2">
      <c r="C73" s="128" t="s">
        <v>167</v>
      </c>
      <c r="D73" s="127" t="s">
        <v>168</v>
      </c>
      <c r="E73" s="128" t="s">
        <v>169</v>
      </c>
      <c r="F73" s="128" t="s">
        <v>170</v>
      </c>
      <c r="G73" s="128" t="s">
        <v>171</v>
      </c>
      <c r="H73" s="127" t="s">
        <v>172</v>
      </c>
      <c r="I73" s="127" t="s">
        <v>262</v>
      </c>
      <c r="J73" s="127" t="s">
        <v>276</v>
      </c>
      <c r="K73" s="127" t="s">
        <v>281</v>
      </c>
      <c r="L73" s="127" t="s">
        <v>306</v>
      </c>
    </row>
    <row r="74" spans="2:13" x14ac:dyDescent="0.2">
      <c r="B74" s="65" t="s">
        <v>173</v>
      </c>
      <c r="C74" s="207">
        <f>'Group Profit &amp; Loss Stm'!C8</f>
        <v>387990.25213745027</v>
      </c>
      <c r="D74" s="207">
        <f>'Group Profit &amp; Loss Stm'!D8+'Group Profit &amp; Loss Stm'!C8</f>
        <v>815731.63426455366</v>
      </c>
      <c r="E74" s="207">
        <f>'Group Profit &amp; Loss Stm'!E8+'Group Profit &amp; Loss Stm'!D8+'Group Profit &amp; Loss Stm'!C8+1</f>
        <v>1213653.4533028372</v>
      </c>
      <c r="F74" s="207">
        <f>'Group Profit &amp; Loss Stm'!G8</f>
        <v>1652454.664270544</v>
      </c>
      <c r="G74" s="207">
        <f>'Group Profit &amp; Loss Stm'!H8</f>
        <v>394524.81323773891</v>
      </c>
      <c r="H74" s="207">
        <f>'Group Profit &amp; Loss Stm'!I8+'Group Profit &amp; Loss Stm'!H8</f>
        <v>807471.70401660679</v>
      </c>
      <c r="I74" s="207">
        <f>'Group Profit &amp; Loss Stm'!I8+'Group Profit &amp; Loss Stm'!H8+'Group Profit &amp; Loss Stm'!J8</f>
        <v>1195820.6792087948</v>
      </c>
      <c r="J74" s="207">
        <f>'Group Profit &amp; Loss Stm'!L8</f>
        <v>1613572.0960350323</v>
      </c>
      <c r="K74" s="207">
        <f>'Group Profit &amp; Loss Stm'!M8</f>
        <v>389777.26950933941</v>
      </c>
      <c r="L74" s="207">
        <f>'Group Profit &amp; Loss Stm'!N8+'Group Profit &amp; Loss Stm'!M8</f>
        <v>767939.67586011812</v>
      </c>
    </row>
    <row r="75" spans="2:13" x14ac:dyDescent="0.2">
      <c r="B75" s="65" t="s">
        <v>174</v>
      </c>
      <c r="C75" s="205">
        <f t="shared" ref="C75:J75" si="21">-C39</f>
        <v>9277.8957686652502</v>
      </c>
      <c r="D75" s="205">
        <f t="shared" si="21"/>
        <v>17240.919239775634</v>
      </c>
      <c r="E75" s="205">
        <f t="shared" si="21"/>
        <v>27058.759461961552</v>
      </c>
      <c r="F75" s="205">
        <f t="shared" si="21"/>
        <v>35015.248053150353</v>
      </c>
      <c r="G75" s="205">
        <f t="shared" si="21"/>
        <v>4292.8715351522078</v>
      </c>
      <c r="H75" s="205">
        <f t="shared" si="21"/>
        <v>10625.987039154821</v>
      </c>
      <c r="I75" s="205">
        <f t="shared" si="21"/>
        <v>14324.845790791864</v>
      </c>
      <c r="J75" s="205">
        <f t="shared" si="21"/>
        <v>21549.009091006832</v>
      </c>
      <c r="K75" s="205">
        <f t="shared" ref="K75:L75" si="22">-K39</f>
        <v>5534.7710069160812</v>
      </c>
      <c r="L75" s="205">
        <f t="shared" si="22"/>
        <v>19174.170316149048</v>
      </c>
    </row>
    <row r="76" spans="2:13" x14ac:dyDescent="0.2">
      <c r="B76" s="65" t="s">
        <v>175</v>
      </c>
      <c r="C76" s="206">
        <f t="shared" ref="C76:H76" si="23">C75/C74</f>
        <v>2.3912703263942937E-2</v>
      </c>
      <c r="D76" s="206">
        <f t="shared" si="23"/>
        <v>2.1135528543427987E-2</v>
      </c>
      <c r="E76" s="206">
        <f t="shared" si="23"/>
        <v>2.2295293098968102E-2</v>
      </c>
      <c r="F76" s="206">
        <f t="shared" si="23"/>
        <v>2.1189838856249293E-2</v>
      </c>
      <c r="G76" s="206">
        <f t="shared" si="23"/>
        <v>1.088111923790543E-2</v>
      </c>
      <c r="H76" s="206">
        <f t="shared" si="23"/>
        <v>1.3159578207258495E-2</v>
      </c>
      <c r="I76" s="206">
        <f t="shared" ref="I76:J76" si="24">I75/I74</f>
        <v>1.1979091882128834E-2</v>
      </c>
      <c r="J76" s="206">
        <f t="shared" si="24"/>
        <v>1.3354847387332967E-2</v>
      </c>
      <c r="K76" s="206">
        <f t="shared" ref="K76:L76" si="25">K75/K74</f>
        <v>1.4199830107803306E-2</v>
      </c>
      <c r="L76" s="206">
        <f t="shared" si="25"/>
        <v>2.4968328787900347E-2</v>
      </c>
    </row>
    <row r="77" spans="2:13" x14ac:dyDescent="0.2">
      <c r="B77" s="65"/>
    </row>
    <row r="81" spans="2:2" x14ac:dyDescent="0.2">
      <c r="B81" s="65"/>
    </row>
  </sheetData>
  <pageMargins left="0.7" right="0.7" top="0.75" bottom="0.75" header="0.3" footer="0.3"/>
  <pageSetup orientation="portrait" horizontalDpi="1200" verticalDpi="1200" r:id="rId1"/>
  <ignoredErrors>
    <ignoredError sqref="E69 C48:H48 C17:F20 F52 C51:F51 C50:F50 C49:F49 C47:I47 K18:L18 J42:L4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13515-43FA-4F38-9C20-53D5790F179B}">
  <dimension ref="A1:T27"/>
  <sheetViews>
    <sheetView showGridLines="0" zoomScaleNormal="100" workbookViewId="0">
      <pane xSplit="2" ySplit="5" topLeftCell="C6" activePane="bottomRight" state="frozen"/>
      <selection pane="topRight" activeCell="P28" sqref="P28"/>
      <selection pane="bottomLeft" activeCell="P28" sqref="P28"/>
      <selection pane="bottomRight" activeCell="B5" sqref="B5"/>
    </sheetView>
  </sheetViews>
  <sheetFormatPr defaultColWidth="9.140625" defaultRowHeight="12.75" x14ac:dyDescent="0.2"/>
  <cols>
    <col min="1" max="1" width="6.28515625" style="20" customWidth="1"/>
    <col min="2" max="2" width="48.140625" style="20" bestFit="1" customWidth="1"/>
    <col min="3" max="3" width="14.7109375" style="20" customWidth="1"/>
    <col min="4" max="4" width="14.140625" style="20" customWidth="1"/>
    <col min="5" max="5" width="14" style="20" customWidth="1"/>
    <col min="6" max="7" width="14.140625" style="20" customWidth="1"/>
    <col min="8" max="8" width="13.85546875" style="20" customWidth="1"/>
    <col min="9" max="12" width="12.7109375" style="20" customWidth="1"/>
    <col min="13" max="13" width="12.7109375" style="20" bestFit="1" customWidth="1"/>
    <col min="14" max="14" width="12.7109375" style="20" customWidth="1"/>
    <col min="15" max="15" width="13.140625" style="20" customWidth="1"/>
    <col min="16" max="16" width="9.140625" style="20"/>
    <col min="17" max="18" width="10.140625" style="20" bestFit="1" customWidth="1"/>
    <col min="19" max="16384" width="9.140625" style="20"/>
  </cols>
  <sheetData>
    <row r="1" spans="1:20" x14ac:dyDescent="0.2">
      <c r="A1" s="162">
        <f>'2023 IR Data Book'!$A$5</f>
        <v>0.27228666339922669</v>
      </c>
    </row>
    <row r="2" spans="1:20" x14ac:dyDescent="0.2">
      <c r="A2" s="162"/>
    </row>
    <row r="3" spans="1:20" ht="15" x14ac:dyDescent="0.25">
      <c r="B3" s="64"/>
    </row>
    <row r="4" spans="1:20" ht="14.25" customHeight="1" x14ac:dyDescent="0.2">
      <c r="B4" s="66" t="s">
        <v>285</v>
      </c>
      <c r="C4" s="66"/>
      <c r="D4" s="67"/>
      <c r="E4" s="66"/>
      <c r="F4" s="66"/>
      <c r="G4" s="66"/>
      <c r="H4" s="66"/>
      <c r="I4" s="67"/>
      <c r="J4" s="67"/>
      <c r="K4" s="67"/>
      <c r="L4" s="67"/>
      <c r="M4" s="67"/>
      <c r="N4" s="67"/>
      <c r="O4" s="175" t="s">
        <v>19</v>
      </c>
      <c r="P4" s="175"/>
    </row>
    <row r="5" spans="1:20" x14ac:dyDescent="0.2">
      <c r="B5" s="243" t="s">
        <v>314</v>
      </c>
      <c r="C5" s="202" t="s">
        <v>20</v>
      </c>
      <c r="D5" s="202" t="s">
        <v>21</v>
      </c>
      <c r="E5" s="202" t="s">
        <v>22</v>
      </c>
      <c r="F5" s="202" t="s">
        <v>23</v>
      </c>
      <c r="G5" s="202">
        <v>2021</v>
      </c>
      <c r="H5" s="202" t="s">
        <v>25</v>
      </c>
      <c r="I5" s="202" t="s">
        <v>26</v>
      </c>
      <c r="J5" s="202" t="s">
        <v>260</v>
      </c>
      <c r="K5" s="202" t="s">
        <v>274</v>
      </c>
      <c r="L5" s="202">
        <v>2022</v>
      </c>
      <c r="M5" s="202" t="s">
        <v>281</v>
      </c>
      <c r="N5" s="202" t="s">
        <v>297</v>
      </c>
      <c r="O5" s="68" t="s">
        <v>296</v>
      </c>
      <c r="P5" s="68" t="s">
        <v>27</v>
      </c>
    </row>
    <row r="6" spans="1:20" x14ac:dyDescent="0.2">
      <c r="B6" s="69"/>
      <c r="C6" s="69"/>
      <c r="D6" s="70"/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</row>
    <row r="7" spans="1:20" ht="15" x14ac:dyDescent="0.25">
      <c r="B7" s="180" t="s">
        <v>173</v>
      </c>
      <c r="C7" s="184">
        <f>1002142.34808517*('2023 IR Data Book'!$A$5)</f>
        <v>272869.99621117738</v>
      </c>
      <c r="D7" s="184">
        <f>1100781.67756688*('2023 IR Data Book'!$A$5)</f>
        <v>299728.17011568911</v>
      </c>
      <c r="E7" s="184">
        <f>1069651.75737739*(('2023 IR Data Book'!$A$5))</f>
        <v>291251.90801540873</v>
      </c>
      <c r="F7" s="184">
        <f>1097153.77672902*(('2023 IR Data Book'!$A$5))</f>
        <v>298740.34110140498</v>
      </c>
      <c r="G7" s="184">
        <f>C7+D7+E7+F7</f>
        <v>1162590.4154436802</v>
      </c>
      <c r="H7" s="184">
        <f>935616.886*(('2023 IR Data Book'!$A$5))</f>
        <v>254756.00010891465</v>
      </c>
      <c r="I7" s="184">
        <f>960926.278826837*((('2023 IR Data Book'!$A$5)))</f>
        <v>261647.41023439431</v>
      </c>
      <c r="J7" s="184">
        <f>(913035.345530228-24524.9339228929-24763.2105341343)*(('2023 IR Data Book'!$A$5))</f>
        <v>235186.8434006428</v>
      </c>
      <c r="K7" s="184">
        <f>989790.300054706*(('2023 IR Data Book'!$A$5))</f>
        <v>269506.69826681534</v>
      </c>
      <c r="L7" s="184">
        <f>SUM(H7:K7)</f>
        <v>1021096.9520107671</v>
      </c>
      <c r="M7" s="184">
        <f>928233.120686088*(('2023 IR Data Book'!$A$5))</f>
        <v>252745.49928826661</v>
      </c>
      <c r="N7" s="184">
        <f>912426.259611566*((('2023 IR Data Book'!$A$5)))</f>
        <v>248441.50182747003</v>
      </c>
      <c r="O7" s="185">
        <f>(N7-I7)</f>
        <v>-13205.908406924282</v>
      </c>
      <c r="P7" s="186">
        <f>O7/I7</f>
        <v>-5.047215409124018E-2</v>
      </c>
      <c r="Q7" s="83"/>
      <c r="R7" s="83"/>
      <c r="S7" s="232"/>
      <c r="T7" s="232"/>
    </row>
    <row r="8" spans="1:20" ht="15" x14ac:dyDescent="0.25">
      <c r="B8" s="181" t="s">
        <v>176</v>
      </c>
      <c r="C8" s="187">
        <f>717028.001907232*('2023 IR Data Book'!$A$5)</f>
        <v>195237.16220313456</v>
      </c>
      <c r="D8" s="187">
        <f>775480.325927456*('2023 IR Data Book'!$A$5)</f>
        <v>211152.95047853183</v>
      </c>
      <c r="E8" s="187">
        <f>747513.363608859*(('2023 IR Data Book'!$A$5))</f>
        <v>203537.91962338914</v>
      </c>
      <c r="F8" s="187">
        <f>827660.140224345*(('2023 IR Data Book'!$A$5))</f>
        <v>225360.81801022301</v>
      </c>
      <c r="G8" s="187">
        <f>C8+D8+E8+F8</f>
        <v>835288.85031527851</v>
      </c>
      <c r="H8" s="187">
        <f>665068.356508206*(('2023 IR Data Book'!$A$5))</f>
        <v>181089.24372602679</v>
      </c>
      <c r="I8" s="187">
        <f>678187.381940867*((('2023 IR Data Book'!$A$5)))</f>
        <v>184661.37938813571</v>
      </c>
      <c r="J8" s="187">
        <f>(643262.5889205-11183.4452050221-9074.07272047409)*(('2023 IR Data Book'!$A$5))</f>
        <v>169635.97206202793</v>
      </c>
      <c r="K8" s="187">
        <f>698198.881418526*(('2023 IR Data Book'!$A$5))</f>
        <v>190110.24381052281</v>
      </c>
      <c r="L8" s="187">
        <f>SUM(H8:K8)</f>
        <v>725496.83898671321</v>
      </c>
      <c r="M8" s="187">
        <f>656801.046732577*(('2023 IR Data Book'!$A$5))</f>
        <v>178838.16553193296</v>
      </c>
      <c r="N8" s="187">
        <f>649510.965100682*((('2023 IR Data Book'!$A$5)))</f>
        <v>176853.17352847633</v>
      </c>
      <c r="O8" s="188">
        <f>(N8-I8)</f>
        <v>-7808.2058596593852</v>
      </c>
      <c r="P8" s="189">
        <f>O8/I8</f>
        <v>-4.2283913861855697E-2</v>
      </c>
      <c r="S8" s="232"/>
      <c r="T8" s="232"/>
    </row>
    <row r="9" spans="1:20" ht="15" x14ac:dyDescent="0.25">
      <c r="B9" s="183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9"/>
      <c r="R9" s="2"/>
    </row>
    <row r="10" spans="1:20" ht="15" x14ac:dyDescent="0.25">
      <c r="B10" s="180" t="s">
        <v>177</v>
      </c>
      <c r="C10" s="184">
        <f t="shared" ref="C10:I10" si="0">C7-C8</f>
        <v>77632.834008042817</v>
      </c>
      <c r="D10" s="184">
        <f t="shared" si="0"/>
        <v>88575.219637157279</v>
      </c>
      <c r="E10" s="184">
        <f t="shared" si="0"/>
        <v>87713.988392019586</v>
      </c>
      <c r="F10" s="184">
        <f t="shared" ref="F10:G10" si="1">F7-F8</f>
        <v>73379.523091181967</v>
      </c>
      <c r="G10" s="184">
        <f t="shared" si="1"/>
        <v>327301.56512840174</v>
      </c>
      <c r="H10" s="184">
        <f t="shared" si="0"/>
        <v>73666.756382887863</v>
      </c>
      <c r="I10" s="184">
        <f t="shared" si="0"/>
        <v>76986.030846258596</v>
      </c>
      <c r="J10" s="184">
        <f t="shared" ref="J10:L10" si="2">J7-J8</f>
        <v>65550.871338614874</v>
      </c>
      <c r="K10" s="184">
        <f t="shared" si="2"/>
        <v>79396.454456292529</v>
      </c>
      <c r="L10" s="184">
        <f t="shared" si="2"/>
        <v>295600.11302405386</v>
      </c>
      <c r="M10" s="184">
        <f t="shared" ref="M10:N10" si="3">M7-M8</f>
        <v>73907.333756333654</v>
      </c>
      <c r="N10" s="184">
        <f t="shared" si="3"/>
        <v>71588.3282989937</v>
      </c>
      <c r="O10" s="185">
        <f>(N10-I10)</f>
        <v>-5397.7025472648966</v>
      </c>
      <c r="P10" s="186">
        <f>O10/I10</f>
        <v>-7.0112752767370612E-2</v>
      </c>
      <c r="S10" s="232"/>
      <c r="T10" s="232"/>
    </row>
    <row r="11" spans="1:20" ht="15" x14ac:dyDescent="0.25">
      <c r="B11" s="182" t="s">
        <v>178</v>
      </c>
      <c r="C11" s="190">
        <f t="shared" ref="C11:I11" si="4">C10/C7</f>
        <v>0.28450483778349095</v>
      </c>
      <c r="D11" s="190">
        <f t="shared" si="4"/>
        <v>0.2955185013239463</v>
      </c>
      <c r="E11" s="190">
        <f t="shared" si="4"/>
        <v>0.30116193569238031</v>
      </c>
      <c r="F11" s="190">
        <f t="shared" ref="F11:G11" si="5">F10/F7</f>
        <v>0.24562977608127551</v>
      </c>
      <c r="G11" s="190">
        <f t="shared" si="5"/>
        <v>0.28152783713040797</v>
      </c>
      <c r="H11" s="190">
        <f t="shared" si="4"/>
        <v>0.28916593270185376</v>
      </c>
      <c r="I11" s="190">
        <f t="shared" si="4"/>
        <v>0.29423578386383187</v>
      </c>
      <c r="J11" s="190">
        <f t="shared" ref="J11:L11" si="6">J10/J7</f>
        <v>0.27871827518407738</v>
      </c>
      <c r="K11" s="190">
        <f t="shared" si="6"/>
        <v>0.29459918794926926</v>
      </c>
      <c r="L11" s="190">
        <f t="shared" si="6"/>
        <v>0.28949269943657308</v>
      </c>
      <c r="M11" s="190">
        <f t="shared" ref="M11:N11" si="7">M10/M7</f>
        <v>0.29241800136681884</v>
      </c>
      <c r="N11" s="190">
        <f t="shared" si="7"/>
        <v>0.28814963591996057</v>
      </c>
      <c r="O11" s="190"/>
      <c r="P11" s="190"/>
    </row>
    <row r="12" spans="1:20" ht="15" x14ac:dyDescent="0.25">
      <c r="B12" s="72" t="s">
        <v>179</v>
      </c>
      <c r="C12" s="191">
        <f>223548.286214403*('2023 IR Data Book'!$A$5)</f>
        <v>60869.216961935133</v>
      </c>
      <c r="D12" s="191">
        <f>225862.194456106*('2023 IR Data Book'!$A$5)</f>
        <v>61499.263316480421</v>
      </c>
      <c r="E12" s="191">
        <f>275607.908898911*(('2023 IR Data Book'!$A$5))</f>
        <v>75044.357920522511</v>
      </c>
      <c r="F12" s="191">
        <f>241119.056582815*(('2023 IR Data Book'!$A$5))</f>
        <v>65653.503398904053</v>
      </c>
      <c r="G12" s="191">
        <f>C12+D12+E12+F12</f>
        <v>263066.34159784211</v>
      </c>
      <c r="H12" s="191">
        <f>223985.320788361*(('2023 IR Data Book'!$A$5))</f>
        <v>60988.215647868259</v>
      </c>
      <c r="I12" s="191">
        <f>238043.467110935*((('2023 IR Data Book'!$A$5)))</f>
        <v>64816.061403620035</v>
      </c>
      <c r="J12" s="191">
        <f>(256404.184936925-14618.8447945164-14468.717003717)*(('2023 IR Data Book'!$A$5))</f>
        <v>61895.284849613789</v>
      </c>
      <c r="K12" s="191">
        <f>255846.77001026*(('2023 IR Data Book'!$A$5))</f>
        <v>69663.663347563022</v>
      </c>
      <c r="L12" s="191">
        <f>SUM(H12:K12)</f>
        <v>257363.22524866508</v>
      </c>
      <c r="M12" s="191">
        <f>234187.867171094*(('2023 IR Data Book'!$A$5))</f>
        <v>63766.232960598485</v>
      </c>
      <c r="N12" s="191">
        <f>232843.735612062*((('2023 IR Data Book'!$A$5)))</f>
        <v>63400.243863220116</v>
      </c>
      <c r="O12" s="192">
        <f>(N12-I12)</f>
        <v>-1415.8175403999194</v>
      </c>
      <c r="P12" s="189">
        <f>O12/I12</f>
        <v>-2.1843621931659746E-2</v>
      </c>
      <c r="S12" s="232"/>
      <c r="T12" s="232"/>
    </row>
    <row r="13" spans="1:20" ht="15" x14ac:dyDescent="0.25">
      <c r="B13" s="73" t="s">
        <v>180</v>
      </c>
      <c r="C13" s="193">
        <f>67793.5305039601*('2023 IR Data Book'!$A$5)</f>
        <v>18459.274220976989</v>
      </c>
      <c r="D13" s="193">
        <f>104626.763731849*('2023 IR Data Book'!$A$5)</f>
        <v>28488.472398804388</v>
      </c>
      <c r="E13" s="193">
        <f>42423.4319606453*(('2023 IR Data Book'!$A$5))</f>
        <v>11551.334738508222</v>
      </c>
      <c r="F13" s="193">
        <f>37379.9776700221*(('2023 IR Data Book'!$A$5))</f>
        <v>10178.069397707917</v>
      </c>
      <c r="G13" s="193">
        <f>C13+D13+E13+F13</f>
        <v>68677.150755997514</v>
      </c>
      <c r="H13" s="193">
        <f>(51221.864021735)*(('2023 IR Data Book'!$A$5))</f>
        <v>13947.030447567116</v>
      </c>
      <c r="I13" s="193">
        <f>40621.4865499611*((('2023 IR Data Book'!$A$5)))</f>
        <v>11060.689035005473</v>
      </c>
      <c r="J13" s="193">
        <f>(20147.1087077667--1224.86420941922-512.846680396088)*(('2023 IR Data Book'!$A$5))</f>
        <v>5679.6618844387722</v>
      </c>
      <c r="K13" s="193">
        <f>31705.2536676977*(('2023 IR Data Book'!$A$5))</f>
        <v>8632.9177334035012</v>
      </c>
      <c r="L13" s="193">
        <f>SUM(H13:K13)</f>
        <v>39320.299100414864</v>
      </c>
      <c r="M13" s="193">
        <f>37804.83291688*(('2023 IR Data Book'!$A$5))</f>
        <v>10293.751815302508</v>
      </c>
      <c r="N13" s="193">
        <f>30286.0226548901*((('2023 IR Data Book'!$A$5)))</f>
        <v>8246.4800563334175</v>
      </c>
      <c r="O13" s="193">
        <f>(N13-I13)</f>
        <v>-2814.2089786720553</v>
      </c>
      <c r="P13" s="194">
        <f>O13/I13</f>
        <v>-0.25443342361090643</v>
      </c>
      <c r="S13" s="28"/>
      <c r="T13" s="232"/>
    </row>
    <row r="14" spans="1:20" ht="15" x14ac:dyDescent="0.25">
      <c r="B14" s="64" t="s">
        <v>181</v>
      </c>
      <c r="C14" s="190">
        <f t="shared" ref="C14:I14" si="8">C13/C7</f>
        <v>6.7648603647471509E-2</v>
      </c>
      <c r="D14" s="190">
        <f t="shared" si="8"/>
        <v>9.5047697344591953E-2</v>
      </c>
      <c r="E14" s="190">
        <f t="shared" si="8"/>
        <v>3.9660975329634911E-2</v>
      </c>
      <c r="F14" s="190">
        <f t="shared" ref="F14:G14" si="9">F13/F7</f>
        <v>3.4069953057505063E-2</v>
      </c>
      <c r="G14" s="190">
        <f t="shared" si="9"/>
        <v>5.9072524462356078E-2</v>
      </c>
      <c r="H14" s="190">
        <f t="shared" si="8"/>
        <v>5.4746622028939089E-2</v>
      </c>
      <c r="I14" s="190">
        <f t="shared" si="8"/>
        <v>4.2273260129335355E-2</v>
      </c>
      <c r="J14" s="190">
        <f t="shared" ref="J14:L14" si="10">J13/J7</f>
        <v>2.4149573174735033E-2</v>
      </c>
      <c r="K14" s="190">
        <f t="shared" si="10"/>
        <v>3.2032293775707175E-2</v>
      </c>
      <c r="L14" s="190">
        <f t="shared" si="10"/>
        <v>3.8507899786581916E-2</v>
      </c>
      <c r="M14" s="190">
        <f t="shared" ref="M14:N14" si="11">M13/M7</f>
        <v>4.0727735387137642E-2</v>
      </c>
      <c r="N14" s="190">
        <f t="shared" si="11"/>
        <v>3.3192844173274151E-2</v>
      </c>
      <c r="O14" s="190"/>
      <c r="P14" s="190"/>
    </row>
    <row r="15" spans="1:20" ht="15" x14ac:dyDescent="0.25">
      <c r="B15" s="73" t="s">
        <v>182</v>
      </c>
      <c r="C15" s="193">
        <f>126971.790482873*('2023 IR Data Book'!$A$5)</f>
        <v>34572.725176407177</v>
      </c>
      <c r="D15" s="193">
        <f>164433.595675243*('2023 IR Data Book'!$A$5)</f>
        <v>44773.075117149434</v>
      </c>
      <c r="E15" s="193">
        <f>113372.50878968*(('2023 IR Data Book'!$A$5))</f>
        <v>30869.822139541466</v>
      </c>
      <c r="F15" s="193">
        <f>97527.4515491813*(('2023 IR Data Book'!$A$5))</f>
        <v>26555.424372156322</v>
      </c>
      <c r="G15" s="193">
        <f>C15+D15+E15+F15</f>
        <v>136771.04680525442</v>
      </c>
      <c r="H15" s="193">
        <f>113734.680171326*(('2023 IR Data Book'!$A$5))</f>
        <v>30968.436576628548</v>
      </c>
      <c r="I15" s="193">
        <f>102064.863900749*((('2023 IR Data Book'!$A$5)))</f>
        <v>27790.90124183107</v>
      </c>
      <c r="J15" s="193">
        <f>(89569.4117087153-1863.82273672026-3665.89453247584)*(('2023 IR Data Book'!$A$5))</f>
        <v>22882.887992027227</v>
      </c>
      <c r="K15" s="193">
        <f>94595.8858675843*(('2023 IR Data Book'!$A$5))</f>
        <v>25757.19813417859</v>
      </c>
      <c r="L15" s="193">
        <f>SUM(H15:K15)</f>
        <v>107399.42394466544</v>
      </c>
      <c r="M15" s="193">
        <f>97445.6676906999*(('2023 IR Data Book'!$A$5))</f>
        <v>26533.155718210506</v>
      </c>
      <c r="N15" s="193">
        <f>91549.3736928258*((('2023 IR Data Book'!$A$5)))</f>
        <v>24927.673499108474</v>
      </c>
      <c r="O15" s="193">
        <f>(N15-I15)</f>
        <v>-2863.2277427225963</v>
      </c>
      <c r="P15" s="194">
        <f>O15/I15</f>
        <v>-0.10302752392976895</v>
      </c>
      <c r="S15" s="28"/>
      <c r="T15" s="232"/>
    </row>
    <row r="16" spans="1:20" ht="15" x14ac:dyDescent="0.25">
      <c r="B16" s="64" t="s">
        <v>183</v>
      </c>
      <c r="C16" s="190">
        <f t="shared" ref="C16:I16" si="12">C15/C7</f>
        <v>0.12670035422161596</v>
      </c>
      <c r="D16" s="190">
        <f t="shared" si="12"/>
        <v>0.14937893592006357</v>
      </c>
      <c r="E16" s="190">
        <f t="shared" si="12"/>
        <v>0.10599011127476732</v>
      </c>
      <c r="F16" s="190">
        <f t="shared" ref="F16:G16" si="13">F15/F7</f>
        <v>8.8891323730337105E-2</v>
      </c>
      <c r="G16" s="190">
        <f t="shared" si="13"/>
        <v>0.11764336346524788</v>
      </c>
      <c r="H16" s="190">
        <f t="shared" si="12"/>
        <v>0.12156116661978032</v>
      </c>
      <c r="I16" s="190">
        <f t="shared" si="12"/>
        <v>0.10621508241543404</v>
      </c>
      <c r="J16" s="190">
        <f t="shared" ref="J16:L16" si="14">J15/J7</f>
        <v>9.7296633013803549E-2</v>
      </c>
      <c r="K16" s="190">
        <f t="shared" si="14"/>
        <v>9.5571643672761747E-2</v>
      </c>
      <c r="L16" s="190">
        <f t="shared" si="14"/>
        <v>0.10518043730634205</v>
      </c>
      <c r="M16" s="190">
        <f t="shared" ref="M16:N16" si="15">M15/M7</f>
        <v>0.1049797357141001</v>
      </c>
      <c r="N16" s="190">
        <f t="shared" si="15"/>
        <v>0.10033618906562349</v>
      </c>
      <c r="O16" s="190"/>
      <c r="P16" s="190"/>
    </row>
    <row r="18" spans="2:16" x14ac:dyDescent="0.2">
      <c r="B18" s="178" t="s">
        <v>184</v>
      </c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</row>
    <row r="19" spans="2:16" x14ac:dyDescent="0.2">
      <c r="B19" s="71" t="s">
        <v>185</v>
      </c>
      <c r="C19" s="83">
        <v>25388838</v>
      </c>
      <c r="D19" s="83">
        <v>25800486</v>
      </c>
      <c r="E19" s="83">
        <v>27600108</v>
      </c>
      <c r="F19" s="83">
        <v>29436845</v>
      </c>
      <c r="G19" s="83">
        <f>C19+D19+E19+F19</f>
        <v>108226277</v>
      </c>
      <c r="H19" s="83">
        <f>'Historic Express Rev_Vol_ Data'!J27*1000000</f>
        <v>25008344</v>
      </c>
      <c r="I19" s="28">
        <v>24101160</v>
      </c>
      <c r="J19" s="28">
        <v>24481680</v>
      </c>
      <c r="K19" s="28">
        <v>26477337</v>
      </c>
      <c r="L19" s="28">
        <f>SUM(H19:K19)</f>
        <v>100068521</v>
      </c>
      <c r="M19" s="28">
        <v>24620104</v>
      </c>
      <c r="N19" s="28">
        <v>24232178</v>
      </c>
    </row>
    <row r="20" spans="2:16" x14ac:dyDescent="0.2">
      <c r="B20" s="71" t="s">
        <v>186</v>
      </c>
      <c r="C20" s="83">
        <v>6203827</v>
      </c>
      <c r="D20" s="83">
        <v>7200104</v>
      </c>
      <c r="E20" s="83">
        <v>6300214</v>
      </c>
      <c r="F20" s="83">
        <v>6052494</v>
      </c>
      <c r="G20" s="83">
        <f>C20+D20+E20+F20</f>
        <v>25756639</v>
      </c>
      <c r="H20" s="83">
        <f>'Historic Express Rev_Vol_ Data'!J26*1000000</f>
        <v>5339769</v>
      </c>
      <c r="I20" s="28">
        <v>5930134</v>
      </c>
      <c r="J20" s="28">
        <v>5123776</v>
      </c>
      <c r="K20" s="28">
        <v>5811173</v>
      </c>
      <c r="L20" s="28">
        <f>SUM(H20:K20)</f>
        <v>22204852</v>
      </c>
      <c r="M20" s="28">
        <v>5393659</v>
      </c>
      <c r="N20" s="28">
        <v>5491225</v>
      </c>
    </row>
    <row r="21" spans="2:16" ht="13.5" thickBot="1" x14ac:dyDescent="0.25">
      <c r="B21" s="84" t="s">
        <v>187</v>
      </c>
      <c r="C21" s="85">
        <f>SUM(C19:C20)</f>
        <v>31592665</v>
      </c>
      <c r="D21" s="85">
        <f t="shared" ref="D21:I21" si="16">SUM(D19:D20)</f>
        <v>33000590</v>
      </c>
      <c r="E21" s="85">
        <f t="shared" si="16"/>
        <v>33900322</v>
      </c>
      <c r="F21" s="85">
        <f t="shared" si="16"/>
        <v>35489339</v>
      </c>
      <c r="G21" s="85">
        <f t="shared" si="16"/>
        <v>133982916</v>
      </c>
      <c r="H21" s="85">
        <f t="shared" si="16"/>
        <v>30348113</v>
      </c>
      <c r="I21" s="85">
        <f t="shared" si="16"/>
        <v>30031294</v>
      </c>
      <c r="J21" s="85">
        <f t="shared" ref="J21:L21" si="17">SUM(J19:J20)</f>
        <v>29605456</v>
      </c>
      <c r="K21" s="85">
        <f t="shared" si="17"/>
        <v>32288510</v>
      </c>
      <c r="L21" s="85">
        <f t="shared" si="17"/>
        <v>122273373</v>
      </c>
      <c r="M21" s="85">
        <f t="shared" ref="M21:N21" si="18">SUM(M19:M20)</f>
        <v>30013763</v>
      </c>
      <c r="N21" s="85">
        <f t="shared" si="18"/>
        <v>29723403</v>
      </c>
    </row>
    <row r="22" spans="2:16" ht="13.5" thickTop="1" x14ac:dyDescent="0.2"/>
    <row r="23" spans="2:16" x14ac:dyDescent="0.2">
      <c r="B23" s="178" t="s">
        <v>188</v>
      </c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</row>
    <row r="24" spans="2:16" x14ac:dyDescent="0.2">
      <c r="B24" s="71" t="s">
        <v>189</v>
      </c>
      <c r="C24" s="131">
        <f t="shared" ref="C24:J24" si="19">C7*1000/C21</f>
        <v>8.637131315486597</v>
      </c>
      <c r="D24" s="131">
        <f t="shared" si="19"/>
        <v>9.0825094374279089</v>
      </c>
      <c r="E24" s="131">
        <f t="shared" si="19"/>
        <v>8.5914201055496981</v>
      </c>
      <c r="F24" s="131">
        <f t="shared" si="19"/>
        <v>8.4177488090551638</v>
      </c>
      <c r="G24" s="131">
        <f t="shared" ref="G24" si="20">G7*1000/G21</f>
        <v>8.6771541488444708</v>
      </c>
      <c r="H24" s="131">
        <f t="shared" si="19"/>
        <v>8.3944593230200066</v>
      </c>
      <c r="I24" s="131">
        <f t="shared" si="19"/>
        <v>8.7124920502724361</v>
      </c>
      <c r="J24" s="131">
        <f t="shared" si="19"/>
        <v>7.9440371869510411</v>
      </c>
      <c r="K24" s="131">
        <f t="shared" ref="K24:L24" si="21">K7*1000/K21</f>
        <v>8.3468298248143178</v>
      </c>
      <c r="L24" s="131">
        <f t="shared" si="21"/>
        <v>8.3509346880515611</v>
      </c>
      <c r="M24" s="131">
        <f t="shared" ref="M24:N24" si="22">M7*1000/M21</f>
        <v>8.4209867082733538</v>
      </c>
      <c r="N24" s="131">
        <f t="shared" si="22"/>
        <v>8.3584474438364289</v>
      </c>
      <c r="P24" s="131"/>
    </row>
    <row r="25" spans="2:16" x14ac:dyDescent="0.2">
      <c r="B25" s="71" t="s">
        <v>190</v>
      </c>
      <c r="C25" s="131">
        <f t="shared" ref="C25:J25" si="23">C8*1000/C21</f>
        <v>6.1798256716593727</v>
      </c>
      <c r="D25" s="131">
        <f t="shared" si="23"/>
        <v>6.3984598602186153</v>
      </c>
      <c r="E25" s="131">
        <f t="shared" si="23"/>
        <v>6.0040113962159163</v>
      </c>
      <c r="F25" s="131">
        <f t="shared" si="23"/>
        <v>6.3500990539785205</v>
      </c>
      <c r="G25" s="131">
        <f t="shared" ref="G25" si="24">G8*1000/G21</f>
        <v>6.2342937088731416</v>
      </c>
      <c r="H25" s="131">
        <f t="shared" si="23"/>
        <v>5.9670676633511546</v>
      </c>
      <c r="I25" s="131">
        <f t="shared" si="23"/>
        <v>6.1489651224531219</v>
      </c>
      <c r="J25" s="131">
        <f t="shared" si="23"/>
        <v>5.7298888442058766</v>
      </c>
      <c r="K25" s="131">
        <f t="shared" ref="K25:L25" si="25">K8*1000/K21</f>
        <v>5.8878605364732781</v>
      </c>
      <c r="L25" s="131">
        <f t="shared" si="25"/>
        <v>5.9334000623889978</v>
      </c>
      <c r="M25" s="131">
        <f t="shared" ref="M25:N25" si="26">M8*1000/M21</f>
        <v>5.9585386055035139</v>
      </c>
      <c r="N25" s="131">
        <f t="shared" si="26"/>
        <v>5.9499638560388366</v>
      </c>
      <c r="P25" s="131"/>
    </row>
    <row r="26" spans="2:16" x14ac:dyDescent="0.2">
      <c r="B26" s="52"/>
    </row>
    <row r="27" spans="2:16" x14ac:dyDescent="0.2">
      <c r="B27" s="52"/>
    </row>
  </sheetData>
  <pageMargins left="0.7" right="0.7" top="0.75" bottom="0.75" header="0.3" footer="0.3"/>
  <pageSetup orientation="portrait" horizontalDpi="1200" verticalDpi="1200" r:id="rId1"/>
  <ignoredErrors>
    <ignoredError sqref="G14 L14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F612B-3673-4AD2-803F-FCCED2D1761C}">
  <dimension ref="A1:T21"/>
  <sheetViews>
    <sheetView showGridLines="0" workbookViewId="0">
      <pane xSplit="2" ySplit="5" topLeftCell="C6" activePane="bottomRight" state="frozen"/>
      <selection pane="topRight" activeCell="P28" sqref="P28"/>
      <selection pane="bottomLeft" activeCell="P28" sqref="P28"/>
      <selection pane="bottomRight" activeCell="F33" sqref="F33"/>
    </sheetView>
  </sheetViews>
  <sheetFormatPr defaultColWidth="9.140625" defaultRowHeight="12.75" x14ac:dyDescent="0.2"/>
  <cols>
    <col min="1" max="1" width="6.28515625" style="20" customWidth="1"/>
    <col min="2" max="2" width="42.28515625" style="20" customWidth="1"/>
    <col min="3" max="3" width="14.7109375" style="20" customWidth="1"/>
    <col min="4" max="4" width="14.140625" style="20" customWidth="1"/>
    <col min="5" max="5" width="14" style="20" customWidth="1"/>
    <col min="6" max="7" width="14.140625" style="20" customWidth="1"/>
    <col min="8" max="8" width="13.85546875" style="20" customWidth="1"/>
    <col min="9" max="12" width="12.7109375" style="20" customWidth="1"/>
    <col min="13" max="14" width="12.7109375" style="20" bestFit="1" customWidth="1"/>
    <col min="15" max="15" width="13.140625" style="20" customWidth="1"/>
    <col min="16" max="16384" width="9.140625" style="20"/>
  </cols>
  <sheetData>
    <row r="1" spans="1:20" x14ac:dyDescent="0.2">
      <c r="A1" s="162">
        <f>'2023 IR Data Book'!$A$5</f>
        <v>0.27228666339922669</v>
      </c>
    </row>
    <row r="2" spans="1:20" x14ac:dyDescent="0.2">
      <c r="A2" s="162"/>
    </row>
    <row r="3" spans="1:20" ht="15" x14ac:dyDescent="0.25">
      <c r="B3" s="64"/>
    </row>
    <row r="4" spans="1:20" ht="14.25" customHeight="1" x14ac:dyDescent="0.2">
      <c r="B4" s="66" t="s">
        <v>285</v>
      </c>
      <c r="C4" s="66"/>
      <c r="D4" s="67"/>
      <c r="E4" s="66"/>
      <c r="F4" s="66"/>
      <c r="G4" s="66"/>
      <c r="H4" s="66"/>
      <c r="I4" s="67"/>
      <c r="J4" s="67"/>
      <c r="K4" s="67"/>
      <c r="L4" s="67"/>
      <c r="M4" s="67"/>
      <c r="N4" s="67"/>
      <c r="O4" s="175" t="s">
        <v>19</v>
      </c>
      <c r="P4" s="175"/>
    </row>
    <row r="5" spans="1:20" x14ac:dyDescent="0.2">
      <c r="B5" s="243" t="s">
        <v>315</v>
      </c>
      <c r="C5" s="202" t="s">
        <v>20</v>
      </c>
      <c r="D5" s="202" t="s">
        <v>21</v>
      </c>
      <c r="E5" s="202" t="s">
        <v>22</v>
      </c>
      <c r="F5" s="202" t="s">
        <v>23</v>
      </c>
      <c r="G5" s="202">
        <v>2021</v>
      </c>
      <c r="H5" s="202" t="s">
        <v>25</v>
      </c>
      <c r="I5" s="202" t="s">
        <v>26</v>
      </c>
      <c r="J5" s="202" t="s">
        <v>260</v>
      </c>
      <c r="K5" s="202" t="s">
        <v>274</v>
      </c>
      <c r="L5" s="202">
        <v>2022</v>
      </c>
      <c r="M5" s="202" t="s">
        <v>281</v>
      </c>
      <c r="N5" s="202" t="s">
        <v>297</v>
      </c>
      <c r="O5" s="68" t="s">
        <v>296</v>
      </c>
      <c r="P5" s="68" t="s">
        <v>27</v>
      </c>
    </row>
    <row r="6" spans="1:20" x14ac:dyDescent="0.2">
      <c r="B6" s="69"/>
      <c r="C6" s="69"/>
      <c r="D6" s="70"/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</row>
    <row r="7" spans="1:20" ht="15" x14ac:dyDescent="0.25">
      <c r="B7" s="180" t="s">
        <v>173</v>
      </c>
      <c r="C7" s="184">
        <f>646524.483858966*((('2023 IR Data Book'!$A$5)))</f>
        <v>176039.99451586505</v>
      </c>
      <c r="D7" s="184">
        <f>733555.714494972*((('2023 IR Data Book'!$A$5)))</f>
        <v>199737.43791727169</v>
      </c>
      <c r="E7" s="184">
        <f>608876.826084214*((('2023 IR Data Book'!$A$5)))</f>
        <v>165789.03939558187</v>
      </c>
      <c r="F7" s="184">
        <f>673196.558903118*((('2023 IR Data Book'!$A$5)))</f>
        <v>183302.44483557099</v>
      </c>
      <c r="G7" s="184">
        <f>C7+D7+E7+F7</f>
        <v>724868.91666428966</v>
      </c>
      <c r="H7" s="184">
        <f>558977.0652*((('2023 IR Data Book'!$A$5)))</f>
        <v>152201.99999999997</v>
      </c>
      <c r="I7" s="184">
        <f>588432.255458431*((('2023 IR Data Book'!$A$5)))</f>
        <v>160222.25547525755</v>
      </c>
      <c r="J7" s="184">
        <f>(496499.900127167-1231.05271916011-1342.02838895886)*((('2023 IR Data Book'!$A$5)))</f>
        <v>134489.68551409029</v>
      </c>
      <c r="K7" s="184">
        <f>607548.927429633*((('2023 IR Data Book'!$A$5)))</f>
        <v>165427.47030159368</v>
      </c>
      <c r="L7" s="184">
        <f>H7+I7+J7+K7</f>
        <v>612341.41129094153</v>
      </c>
      <c r="M7" s="184">
        <f>566580.920045477*((('2023 IR Data Book'!$A$5)))</f>
        <v>154272.42826484697</v>
      </c>
      <c r="N7" s="184">
        <f>561041.184136171*((('2023 IR Data Book'!$A$5)))</f>
        <v>152764.03205798916</v>
      </c>
      <c r="O7" s="185">
        <f>(N7-I7)</f>
        <v>-7458.2234172683966</v>
      </c>
      <c r="P7" s="186">
        <f>O7/I7</f>
        <v>-4.6549234968297763E-2</v>
      </c>
      <c r="R7" s="232"/>
      <c r="S7" s="232"/>
      <c r="T7" s="232"/>
    </row>
    <row r="8" spans="1:20" ht="15" x14ac:dyDescent="0.25">
      <c r="B8" s="181" t="s">
        <v>176</v>
      </c>
      <c r="C8" s="187">
        <f>444124.447612567*((('2023 IR Data Book'!$A$5)))</f>
        <v>120929.16397445052</v>
      </c>
      <c r="D8" s="187">
        <f>498401.214070459*((('2023 IR Data Book'!$A$5)))</f>
        <v>135708.00361336899</v>
      </c>
      <c r="E8" s="187">
        <f>414055.145401605*((('2023 IR Data Book'!$A$5)))</f>
        <v>112741.69400468469</v>
      </c>
      <c r="F8" s="187">
        <f>488658.173014657*((('2023 IR Data Book'!$A$5)))</f>
        <v>133055.10347292299</v>
      </c>
      <c r="G8" s="187">
        <f>C8+D8+E8+F8</f>
        <v>502433.96506542718</v>
      </c>
      <c r="H8" s="187">
        <f>381194.278492367*((('2023 IR Data Book'!$A$5)))</f>
        <v>103794.11819756222</v>
      </c>
      <c r="I8" s="187">
        <f>398724.179629226*((('2023 IR Data Book'!$A$5)))</f>
        <v>108567.27648783586</v>
      </c>
      <c r="J8" s="187">
        <f>(342797.531928598-310.198076032919-399.469364759988)*((('2023 IR Data Book'!$A$5)))</f>
        <v>93145.963210751259</v>
      </c>
      <c r="K8" s="187">
        <f>413549.80810701*((('2023 IR Data Book'!$A$5)))</f>
        <v>112604.09739884821</v>
      </c>
      <c r="L8" s="187">
        <f>H8+I8+J8+K8</f>
        <v>418111.45529499755</v>
      </c>
      <c r="M8" s="187">
        <f>382785.441676797*((('2023 IR Data Book'!$A$5)))</f>
        <v>104227.37071197435</v>
      </c>
      <c r="N8" s="187">
        <f>372716.871459385*((('2023 IR Data Book'!$A$5)))</f>
        <v>101485.8333222744</v>
      </c>
      <c r="O8" s="188">
        <f>(N8-I8)</f>
        <v>-7081.4431655614608</v>
      </c>
      <c r="P8" s="231">
        <f>O8/I8</f>
        <v>-6.5226313071921657E-2</v>
      </c>
      <c r="R8" s="232"/>
      <c r="S8" s="232"/>
      <c r="T8" s="232"/>
    </row>
    <row r="9" spans="1:20" ht="15" x14ac:dyDescent="0.25">
      <c r="B9" s="183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9"/>
    </row>
    <row r="10" spans="1:20" ht="15" x14ac:dyDescent="0.25">
      <c r="B10" s="180" t="s">
        <v>177</v>
      </c>
      <c r="C10" s="184">
        <f t="shared" ref="C10:E10" si="0">C7-C8</f>
        <v>55110.830541414529</v>
      </c>
      <c r="D10" s="184">
        <f t="shared" ref="D10" si="1">D7-D8</f>
        <v>64029.434303902701</v>
      </c>
      <c r="E10" s="184">
        <f t="shared" si="0"/>
        <v>53047.345390897186</v>
      </c>
      <c r="F10" s="184">
        <f t="shared" ref="F10:G10" si="2">F7-F8</f>
        <v>50247.341362648003</v>
      </c>
      <c r="G10" s="184">
        <f t="shared" si="2"/>
        <v>222434.95159886248</v>
      </c>
      <c r="H10" s="184">
        <f t="shared" ref="H10:I10" si="3">H7-H8</f>
        <v>48407.881802437754</v>
      </c>
      <c r="I10" s="184">
        <f t="shared" si="3"/>
        <v>51654.978987421695</v>
      </c>
      <c r="J10" s="184">
        <f t="shared" ref="J10:L10" si="4">J7-J8</f>
        <v>41343.722303339033</v>
      </c>
      <c r="K10" s="184">
        <f t="shared" si="4"/>
        <v>52823.372902745468</v>
      </c>
      <c r="L10" s="184">
        <f t="shared" si="4"/>
        <v>194229.95599594398</v>
      </c>
      <c r="M10" s="184">
        <f t="shared" ref="M10:N10" si="5">M7-M8</f>
        <v>50045.057552872619</v>
      </c>
      <c r="N10" s="184">
        <f t="shared" si="5"/>
        <v>51278.198735714759</v>
      </c>
      <c r="O10" s="185">
        <f>(N10-I10)</f>
        <v>-376.78025170693581</v>
      </c>
      <c r="P10" s="186">
        <f>O10/I10</f>
        <v>-7.2941710381623451E-3</v>
      </c>
    </row>
    <row r="11" spans="1:20" ht="15" x14ac:dyDescent="0.25">
      <c r="B11" s="182" t="s">
        <v>178</v>
      </c>
      <c r="C11" s="190">
        <f t="shared" ref="C11:E11" si="6">C10/C7</f>
        <v>0.3130585790631108</v>
      </c>
      <c r="D11" s="190">
        <f t="shared" ref="D11" si="7">D10/D7</f>
        <v>0.32056801654992068</v>
      </c>
      <c r="E11" s="190">
        <f t="shared" si="6"/>
        <v>0.31996895322086566</v>
      </c>
      <c r="F11" s="190">
        <f t="shared" ref="F11:G11" si="8">F10/F7</f>
        <v>0.27412259235124609</v>
      </c>
      <c r="G11" s="190">
        <f t="shared" si="8"/>
        <v>0.30686231190939495</v>
      </c>
      <c r="H11" s="190">
        <f t="shared" ref="H11:I11" si="9">H10/H7</f>
        <v>0.31805023457272419</v>
      </c>
      <c r="I11" s="190">
        <f t="shared" si="9"/>
        <v>0.32239577975107558</v>
      </c>
      <c r="J11" s="190">
        <f t="shared" ref="J11:L11" si="10">J10/J7</f>
        <v>0.30741184459835408</v>
      </c>
      <c r="K11" s="190">
        <f t="shared" si="10"/>
        <v>0.31931439685586838</v>
      </c>
      <c r="L11" s="190">
        <f t="shared" si="10"/>
        <v>0.31719225976643867</v>
      </c>
      <c r="M11" s="190">
        <f t="shared" ref="M11:N11" si="11">M10/M7</f>
        <v>0.32439404834516405</v>
      </c>
      <c r="N11" s="190">
        <f t="shared" si="11"/>
        <v>0.33566931983210274</v>
      </c>
      <c r="O11" s="190"/>
      <c r="P11" s="190"/>
    </row>
    <row r="13" spans="1:20" x14ac:dyDescent="0.2">
      <c r="B13" s="178" t="s">
        <v>184</v>
      </c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</row>
    <row r="14" spans="1:20" x14ac:dyDescent="0.2">
      <c r="B14" s="71"/>
      <c r="C14" s="83"/>
      <c r="D14" s="83"/>
      <c r="E14" s="83"/>
      <c r="F14" s="83"/>
      <c r="G14" s="83"/>
      <c r="H14" s="83"/>
      <c r="I14" s="28"/>
      <c r="J14" s="28"/>
      <c r="K14" s="28"/>
      <c r="L14" s="28"/>
      <c r="M14" s="28"/>
      <c r="N14" s="28"/>
    </row>
    <row r="15" spans="1:20" x14ac:dyDescent="0.2">
      <c r="B15" s="71" t="s">
        <v>186</v>
      </c>
      <c r="C15" s="83">
        <v>6203827</v>
      </c>
      <c r="D15" s="83">
        <v>7200104</v>
      </c>
      <c r="E15" s="83">
        <v>6300214</v>
      </c>
      <c r="F15" s="83">
        <v>6052494</v>
      </c>
      <c r="G15" s="83">
        <f>C15+D15+E15+F15</f>
        <v>25756639</v>
      </c>
      <c r="H15" s="83">
        <f>'Historic Express Rev_Vol_ Data'!J26*1000000</f>
        <v>5339769</v>
      </c>
      <c r="I15" s="28">
        <v>5930134</v>
      </c>
      <c r="J15" s="28">
        <v>5123776</v>
      </c>
      <c r="K15" s="28">
        <v>5811173</v>
      </c>
      <c r="L15" s="28">
        <f>H15+I15+J15+K15</f>
        <v>22204852</v>
      </c>
      <c r="M15" s="28">
        <v>5393659</v>
      </c>
      <c r="N15" s="28">
        <v>5491225</v>
      </c>
    </row>
    <row r="16" spans="1:20" ht="13.5" thickBot="1" x14ac:dyDescent="0.25">
      <c r="B16" s="84" t="s">
        <v>270</v>
      </c>
      <c r="C16" s="85">
        <f t="shared" ref="C16:J16" si="12">SUM(C14:C15)</f>
        <v>6203827</v>
      </c>
      <c r="D16" s="85">
        <f t="shared" si="12"/>
        <v>7200104</v>
      </c>
      <c r="E16" s="85">
        <f t="shared" si="12"/>
        <v>6300214</v>
      </c>
      <c r="F16" s="85">
        <f t="shared" si="12"/>
        <v>6052494</v>
      </c>
      <c r="G16" s="85">
        <f t="shared" si="12"/>
        <v>25756639</v>
      </c>
      <c r="H16" s="85">
        <f t="shared" si="12"/>
        <v>5339769</v>
      </c>
      <c r="I16" s="85">
        <f t="shared" si="12"/>
        <v>5930134</v>
      </c>
      <c r="J16" s="85">
        <f t="shared" si="12"/>
        <v>5123776</v>
      </c>
      <c r="K16" s="85">
        <f t="shared" ref="K16:L16" si="13">SUM(K14:K15)</f>
        <v>5811173</v>
      </c>
      <c r="L16" s="85">
        <f t="shared" si="13"/>
        <v>22204852</v>
      </c>
      <c r="M16" s="85">
        <f t="shared" ref="M16:N16" si="14">SUM(M14:M15)</f>
        <v>5393659</v>
      </c>
      <c r="N16" s="85">
        <f t="shared" si="14"/>
        <v>5491225</v>
      </c>
    </row>
    <row r="17" spans="2:16" ht="13.5" thickTop="1" x14ac:dyDescent="0.2"/>
    <row r="18" spans="2:16" x14ac:dyDescent="0.2">
      <c r="B18" s="178" t="s">
        <v>188</v>
      </c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</row>
    <row r="19" spans="2:16" x14ac:dyDescent="0.2">
      <c r="B19" s="71" t="s">
        <v>307</v>
      </c>
      <c r="C19" s="131">
        <f t="shared" ref="C19:J19" si="15">C7*1000/C16</f>
        <v>28.376032167864295</v>
      </c>
      <c r="D19" s="131">
        <f t="shared" si="15"/>
        <v>27.740910119808223</v>
      </c>
      <c r="E19" s="131">
        <f t="shared" si="15"/>
        <v>26.314826670265784</v>
      </c>
      <c r="F19" s="131">
        <f t="shared" si="15"/>
        <v>30.285440156664507</v>
      </c>
      <c r="G19" s="131">
        <f t="shared" ref="G19" si="16">G7*1000/G16</f>
        <v>28.142993216789261</v>
      </c>
      <c r="H19" s="131">
        <f t="shared" si="15"/>
        <v>28.503480206728039</v>
      </c>
      <c r="I19" s="131">
        <f t="shared" si="15"/>
        <v>27.018319564997611</v>
      </c>
      <c r="J19" s="131">
        <f t="shared" si="15"/>
        <v>26.248158684940616</v>
      </c>
      <c r="K19" s="131">
        <f t="shared" ref="K19:L19" si="17">K7*1000/K16</f>
        <v>28.467139130360376</v>
      </c>
      <c r="L19" s="131">
        <f t="shared" si="17"/>
        <v>27.576919282818974</v>
      </c>
      <c r="M19" s="131">
        <f t="shared" ref="M19:N19" si="18">M7*1000/M16</f>
        <v>28.6025550122555</v>
      </c>
      <c r="N19" s="131">
        <f t="shared" si="18"/>
        <v>27.819663564685321</v>
      </c>
      <c r="O19" s="131"/>
      <c r="P19" s="2"/>
    </row>
    <row r="20" spans="2:16" x14ac:dyDescent="0.2">
      <c r="B20" s="71" t="s">
        <v>308</v>
      </c>
      <c r="C20" s="131">
        <f t="shared" ref="C20:J20" si="19">C8*1000/C16</f>
        <v>19.492671857943577</v>
      </c>
      <c r="D20" s="131">
        <f t="shared" si="19"/>
        <v>18.848061585411681</v>
      </c>
      <c r="E20" s="131">
        <f t="shared" si="19"/>
        <v>17.894899126392325</v>
      </c>
      <c r="F20" s="131">
        <f t="shared" si="19"/>
        <v>21.983516790421103</v>
      </c>
      <c r="G20" s="131">
        <f t="shared" ref="G20" si="20">G8*1000/G16</f>
        <v>19.506969254234885</v>
      </c>
      <c r="H20" s="131">
        <f t="shared" si="19"/>
        <v>19.437941640839185</v>
      </c>
      <c r="I20" s="131">
        <f t="shared" si="19"/>
        <v>18.307727361276466</v>
      </c>
      <c r="J20" s="131">
        <f t="shared" si="19"/>
        <v>18.179163806292717</v>
      </c>
      <c r="K20" s="131">
        <f t="shared" ref="K20:L20" si="21">K8*1000/K16</f>
        <v>19.377171768737263</v>
      </c>
      <c r="L20" s="131">
        <f t="shared" si="21"/>
        <v>18.829733938104951</v>
      </c>
      <c r="M20" s="131">
        <f t="shared" ref="M20:N20" si="22">M8*1000/M16</f>
        <v>19.324056398814673</v>
      </c>
      <c r="N20" s="131">
        <f t="shared" si="22"/>
        <v>18.481456017969471</v>
      </c>
      <c r="P20" s="2"/>
    </row>
    <row r="21" spans="2:16" x14ac:dyDescent="0.2">
      <c r="B21" s="71" t="s">
        <v>309</v>
      </c>
      <c r="C21" s="131">
        <f t="shared" ref="C21:J21" si="23">C10*1000/C16</f>
        <v>8.8833603099207199</v>
      </c>
      <c r="D21" s="131">
        <f t="shared" si="23"/>
        <v>8.8928485343965455</v>
      </c>
      <c r="E21" s="131">
        <f t="shared" si="23"/>
        <v>8.4199275438734595</v>
      </c>
      <c r="F21" s="131">
        <f t="shared" si="23"/>
        <v>8.301923366243404</v>
      </c>
      <c r="G21" s="131">
        <f t="shared" ref="G21" si="24">G10*1000/G16</f>
        <v>8.636023962554372</v>
      </c>
      <c r="H21" s="131">
        <f t="shared" si="23"/>
        <v>9.0655385658888523</v>
      </c>
      <c r="I21" s="131">
        <f t="shared" si="23"/>
        <v>8.710592203721145</v>
      </c>
      <c r="J21" s="131">
        <f t="shared" si="23"/>
        <v>8.0689948786479029</v>
      </c>
      <c r="K21" s="131">
        <f t="shared" ref="K21:L21" si="25">K10*1000/K16</f>
        <v>9.0899673616231134</v>
      </c>
      <c r="L21" s="131">
        <f t="shared" si="25"/>
        <v>8.7471853447140298</v>
      </c>
      <c r="M21" s="131">
        <f t="shared" ref="M21:N21" si="26">M10*1000/M16</f>
        <v>9.2784986134408243</v>
      </c>
      <c r="N21" s="131">
        <f t="shared" si="26"/>
        <v>9.3382075467158518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95CB5-EFF0-4B5A-BFD5-0FFBD0D9E94D}">
  <dimension ref="A1:T27"/>
  <sheetViews>
    <sheetView showGridLines="0" workbookViewId="0">
      <pane xSplit="2" ySplit="5" topLeftCell="C6" activePane="bottomRight" state="frozen"/>
      <selection pane="topRight" activeCell="P28" sqref="P28"/>
      <selection pane="bottomLeft" activeCell="P28" sqref="P28"/>
      <selection pane="bottomRight" activeCell="F35" sqref="F35"/>
    </sheetView>
  </sheetViews>
  <sheetFormatPr defaultColWidth="9.140625" defaultRowHeight="12.75" x14ac:dyDescent="0.2"/>
  <cols>
    <col min="1" max="1" width="6.28515625" style="20" customWidth="1"/>
    <col min="2" max="2" width="35.85546875" style="20" customWidth="1"/>
    <col min="3" max="3" width="14.7109375" style="20" customWidth="1"/>
    <col min="4" max="4" width="14.140625" style="20" customWidth="1"/>
    <col min="5" max="5" width="14" style="20" customWidth="1"/>
    <col min="6" max="7" width="14.140625" style="20" customWidth="1"/>
    <col min="8" max="8" width="13.85546875" style="20" customWidth="1"/>
    <col min="9" max="11" width="12.7109375" style="20" bestFit="1" customWidth="1"/>
    <col min="12" max="12" width="12.7109375" style="20" customWidth="1"/>
    <col min="13" max="14" width="12.7109375" style="20" bestFit="1" customWidth="1"/>
    <col min="15" max="15" width="13.140625" style="20" customWidth="1"/>
    <col min="16" max="16384" width="9.140625" style="20"/>
  </cols>
  <sheetData>
    <row r="1" spans="1:20" x14ac:dyDescent="0.2">
      <c r="A1" s="162">
        <f>'2023 IR Data Book'!$A$5</f>
        <v>0.27228666339922669</v>
      </c>
    </row>
    <row r="2" spans="1:20" x14ac:dyDescent="0.2">
      <c r="A2" s="162"/>
    </row>
    <row r="3" spans="1:20" ht="15" x14ac:dyDescent="0.25">
      <c r="B3" s="64"/>
    </row>
    <row r="4" spans="1:20" ht="14.25" customHeight="1" x14ac:dyDescent="0.2">
      <c r="B4" s="66" t="s">
        <v>285</v>
      </c>
      <c r="C4" s="66"/>
      <c r="D4" s="67"/>
      <c r="E4" s="66"/>
      <c r="F4" s="66"/>
      <c r="G4" s="66"/>
      <c r="H4" s="66"/>
      <c r="I4" s="67"/>
      <c r="J4" s="67"/>
      <c r="K4" s="67"/>
      <c r="L4" s="67"/>
      <c r="M4" s="67"/>
      <c r="N4" s="67"/>
      <c r="O4" s="175" t="s">
        <v>19</v>
      </c>
      <c r="P4" s="175"/>
    </row>
    <row r="5" spans="1:20" x14ac:dyDescent="0.2">
      <c r="B5" s="243" t="s">
        <v>239</v>
      </c>
      <c r="C5" s="202" t="s">
        <v>20</v>
      </c>
      <c r="D5" s="202" t="s">
        <v>21</v>
      </c>
      <c r="E5" s="202" t="s">
        <v>22</v>
      </c>
      <c r="F5" s="202" t="s">
        <v>23</v>
      </c>
      <c r="G5" s="202">
        <v>2021</v>
      </c>
      <c r="H5" s="202" t="s">
        <v>25</v>
      </c>
      <c r="I5" s="202" t="s">
        <v>26</v>
      </c>
      <c r="J5" s="202" t="s">
        <v>260</v>
      </c>
      <c r="K5" s="202" t="s">
        <v>274</v>
      </c>
      <c r="L5" s="202">
        <v>2022</v>
      </c>
      <c r="M5" s="202" t="s">
        <v>281</v>
      </c>
      <c r="N5" s="202" t="s">
        <v>297</v>
      </c>
      <c r="O5" s="68" t="s">
        <v>296</v>
      </c>
      <c r="P5" s="68" t="s">
        <v>27</v>
      </c>
    </row>
    <row r="6" spans="1:20" x14ac:dyDescent="0.2">
      <c r="B6" s="69"/>
      <c r="C6" s="69"/>
      <c r="D6" s="70"/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</row>
    <row r="7" spans="1:20" ht="15" x14ac:dyDescent="0.25">
      <c r="B7" s="180" t="s">
        <v>173</v>
      </c>
      <c r="C7" s="184">
        <f>355617.86422929*(((('2023 IR Data Book'!$A$5))))</f>
        <v>96830.001696152583</v>
      </c>
      <c r="D7" s="184">
        <f>367225.963071906*(((('2023 IR Data Book'!$A$5))))</f>
        <v>99990.732198416925</v>
      </c>
      <c r="E7" s="184">
        <f>460774.931293178*(((('2023 IR Data Book'!$A$5))))</f>
        <v>125462.86861982736</v>
      </c>
      <c r="F7" s="184">
        <f>423957.217825905*(((('2023 IR Data Book'!$A$5))))</f>
        <v>115437.89626583483</v>
      </c>
      <c r="G7" s="184">
        <f>SUM(C7:F7)</f>
        <v>437721.49878023169</v>
      </c>
      <c r="H7" s="184">
        <f>376640.582563042*((('2023 IR Data Book'!$A$5)))</f>
        <v>102554.20752683167</v>
      </c>
      <c r="I7" s="184">
        <f>372494.023368405*((('2023 IR Data Book'!$A$5)))</f>
        <v>101425.15475913658</v>
      </c>
      <c r="J7" s="184">
        <f>(416535.445403061-23294.0574489905-23421.7676629592)*(((('2023 IR Data Book'!$A$5))))</f>
        <v>100696.95046863565</v>
      </c>
      <c r="K7" s="184">
        <f>382241.372625073*(((('2023 IR Data Book'!$A$5))))</f>
        <v>104079.22796522164</v>
      </c>
      <c r="L7" s="184">
        <f>SUM(H7:K7)</f>
        <v>408755.54071982554</v>
      </c>
      <c r="M7" s="184">
        <f>361652.200640611*((('2023 IR Data Book'!$A$5)))</f>
        <v>98473.071023419645</v>
      </c>
      <c r="N7" s="184">
        <f>351385.075475396*((('2023 IR Data Book'!$A$5)))</f>
        <v>95677.469769481017</v>
      </c>
      <c r="O7" s="185">
        <f>(N7-I7)</f>
        <v>-5747.684989655565</v>
      </c>
      <c r="P7" s="186">
        <f>O7/I7</f>
        <v>-5.6669225729111365E-2</v>
      </c>
      <c r="R7" s="232"/>
      <c r="S7" s="232"/>
      <c r="T7" s="232"/>
    </row>
    <row r="8" spans="1:20" ht="15" x14ac:dyDescent="0.25">
      <c r="B8" s="181" t="s">
        <v>176</v>
      </c>
      <c r="C8" s="187">
        <f>272903.55434018*(((('2023 IR Data Book'!$A$5))))</f>
        <v>74307.998241077163</v>
      </c>
      <c r="D8" s="187">
        <f>277079.111766491*(((('2023 IR Data Book'!$A$5))))</f>
        <v>75444.94684051926</v>
      </c>
      <c r="E8" s="187">
        <f>333461.818852503*(((('2023 IR Data Book'!$A$5))))</f>
        <v>90797.206026385393</v>
      </c>
      <c r="F8" s="187">
        <f>338998.431841459*(((('2023 IR Data Book'!$A$5))))</f>
        <v>92304.751903681041</v>
      </c>
      <c r="G8" s="187">
        <f>SUM(C8:F8)</f>
        <v>332854.90301166289</v>
      </c>
      <c r="H8" s="187">
        <f>283874.078015839*((('2023 IR Data Book'!$A$5)))</f>
        <v>77295.125528464559</v>
      </c>
      <c r="I8" s="187">
        <f>279463.202311642*((('2023 IR Data Book'!$A$5)))</f>
        <v>76094.102900300059</v>
      </c>
      <c r="J8" s="187">
        <f>(300465.045166131-10873.2471289898-8674.60335571517)*(((('2023 IR Data Book'!$A$5))))</f>
        <v>76490.005631276494</v>
      </c>
      <c r="K8" s="187">
        <f>284649.073311516*(((('2023 IR Data Book'!$A$5))))</f>
        <v>77506.146411674563</v>
      </c>
      <c r="L8" s="187">
        <f>SUM(H8:K8)</f>
        <v>307385.3804717157</v>
      </c>
      <c r="M8" s="187">
        <f>274015.605019054*((('2023 IR Data Book'!$A$5)))</f>
        <v>74610.794809958621</v>
      </c>
      <c r="N8" s="187">
        <f>276794.093641297*((('2023 IR Data Book'!$A$5)))</f>
        <v>75367.340206201872</v>
      </c>
      <c r="O8" s="188">
        <f>(N8-I8)</f>
        <v>-726.76269409818633</v>
      </c>
      <c r="P8" s="189">
        <f>O8/I8</f>
        <v>-9.5508412136799167E-3</v>
      </c>
      <c r="R8" s="232"/>
      <c r="S8" s="232"/>
      <c r="T8" s="232"/>
    </row>
    <row r="9" spans="1:20" ht="15" x14ac:dyDescent="0.25">
      <c r="B9" s="183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9"/>
    </row>
    <row r="10" spans="1:20" ht="15" x14ac:dyDescent="0.25">
      <c r="B10" s="180" t="s">
        <v>177</v>
      </c>
      <c r="C10" s="184">
        <f t="shared" ref="C10:L10" si="0">(C7-C8)</f>
        <v>22522.003455075421</v>
      </c>
      <c r="D10" s="184">
        <f t="shared" si="0"/>
        <v>24545.785357897665</v>
      </c>
      <c r="E10" s="184">
        <f t="shared" si="0"/>
        <v>34665.662593441972</v>
      </c>
      <c r="F10" s="184">
        <f t="shared" si="0"/>
        <v>23133.144362153791</v>
      </c>
      <c r="G10" s="184">
        <f t="shared" si="0"/>
        <v>104866.5957685688</v>
      </c>
      <c r="H10" s="184">
        <f t="shared" si="0"/>
        <v>25259.08199836711</v>
      </c>
      <c r="I10" s="184">
        <f t="shared" si="0"/>
        <v>25331.051858836523</v>
      </c>
      <c r="J10" s="184">
        <f t="shared" si="0"/>
        <v>24206.944837359159</v>
      </c>
      <c r="K10" s="184">
        <f t="shared" si="0"/>
        <v>26573.081553547076</v>
      </c>
      <c r="L10" s="184">
        <f t="shared" si="0"/>
        <v>101370.16024810984</v>
      </c>
      <c r="M10" s="184">
        <f t="shared" ref="M10:N10" si="1">(M7-M8)</f>
        <v>23862.276213461024</v>
      </c>
      <c r="N10" s="184">
        <f t="shared" si="1"/>
        <v>20310.129563279144</v>
      </c>
      <c r="O10" s="185">
        <f>(N10-I10)</f>
        <v>-5020.9222955573787</v>
      </c>
      <c r="P10" s="186">
        <f>O10/I10</f>
        <v>-0.19821215177078691</v>
      </c>
    </row>
    <row r="11" spans="1:20" ht="15" x14ac:dyDescent="0.25">
      <c r="B11" s="182" t="s">
        <v>178</v>
      </c>
      <c r="C11" s="190">
        <f t="shared" ref="C11:E11" si="2">C10/C7</f>
        <v>0.23259323619293404</v>
      </c>
      <c r="D11" s="190">
        <f t="shared" si="2"/>
        <v>0.24548060423430201</v>
      </c>
      <c r="E11" s="190">
        <f t="shared" si="2"/>
        <v>0.27630216792256279</v>
      </c>
      <c r="F11" s="190">
        <f t="shared" ref="F11:G11" si="3">F10/F7</f>
        <v>0.20039471534444717</v>
      </c>
      <c r="G11" s="190">
        <f t="shared" si="3"/>
        <v>0.23957378392606557</v>
      </c>
      <c r="H11" s="190">
        <f t="shared" ref="H11:J11" si="4">H10/H7</f>
        <v>0.24629981165578677</v>
      </c>
      <c r="I11" s="190">
        <f t="shared" si="4"/>
        <v>0.24975117779206199</v>
      </c>
      <c r="J11" s="190">
        <f t="shared" si="4"/>
        <v>0.24039402111684563</v>
      </c>
      <c r="K11" s="190">
        <f t="shared" ref="K11:L11" si="5">K10/K7</f>
        <v>0.25531589802363391</v>
      </c>
      <c r="L11" s="190">
        <f t="shared" si="5"/>
        <v>0.24799703037565005</v>
      </c>
      <c r="M11" s="190">
        <f t="shared" ref="M11:N11" si="6">M10/M7</f>
        <v>0.24232286010239193</v>
      </c>
      <c r="N11" s="190">
        <f t="shared" si="6"/>
        <v>0.21227703462699243</v>
      </c>
      <c r="O11" s="190"/>
      <c r="P11" s="190"/>
    </row>
    <row r="13" spans="1:20" x14ac:dyDescent="0.2">
      <c r="B13" s="178" t="s">
        <v>184</v>
      </c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</row>
    <row r="14" spans="1:20" x14ac:dyDescent="0.2">
      <c r="B14" s="71"/>
      <c r="C14" s="83"/>
      <c r="D14" s="83"/>
      <c r="E14" s="83"/>
      <c r="F14" s="83"/>
      <c r="G14" s="83"/>
      <c r="H14" s="83"/>
      <c r="I14" s="28"/>
      <c r="J14" s="28"/>
      <c r="K14" s="28"/>
      <c r="L14" s="28"/>
      <c r="M14" s="28"/>
      <c r="N14" s="28"/>
    </row>
    <row r="15" spans="1:20" x14ac:dyDescent="0.2">
      <c r="B15" s="71" t="s">
        <v>185</v>
      </c>
      <c r="C15" s="83">
        <v>25388838</v>
      </c>
      <c r="D15" s="83">
        <v>25800486</v>
      </c>
      <c r="E15" s="83">
        <v>27600108</v>
      </c>
      <c r="F15" s="83">
        <v>29436845</v>
      </c>
      <c r="G15" s="83">
        <f>SUM(C15:F15)</f>
        <v>108226277</v>
      </c>
      <c r="H15" s="83">
        <v>25008344</v>
      </c>
      <c r="I15" s="28">
        <v>24101160</v>
      </c>
      <c r="J15" s="28">
        <v>24481680</v>
      </c>
      <c r="K15" s="28">
        <v>26477337</v>
      </c>
      <c r="L15" s="28">
        <f>SUM(H15:K15)</f>
        <v>100068521</v>
      </c>
      <c r="M15" s="28">
        <v>24620104</v>
      </c>
      <c r="N15" s="28">
        <v>24232178</v>
      </c>
    </row>
    <row r="16" spans="1:20" ht="13.5" thickBot="1" x14ac:dyDescent="0.25">
      <c r="B16" s="84" t="s">
        <v>313</v>
      </c>
      <c r="C16" s="85">
        <f t="shared" ref="C16:J16" si="7">SUM(C14:C15)</f>
        <v>25388838</v>
      </c>
      <c r="D16" s="85">
        <f t="shared" si="7"/>
        <v>25800486</v>
      </c>
      <c r="E16" s="85">
        <f t="shared" si="7"/>
        <v>27600108</v>
      </c>
      <c r="F16" s="85">
        <f t="shared" si="7"/>
        <v>29436845</v>
      </c>
      <c r="G16" s="85">
        <f t="shared" si="7"/>
        <v>108226277</v>
      </c>
      <c r="H16" s="85">
        <f t="shared" si="7"/>
        <v>25008344</v>
      </c>
      <c r="I16" s="85">
        <f t="shared" si="7"/>
        <v>24101160</v>
      </c>
      <c r="J16" s="85">
        <f t="shared" si="7"/>
        <v>24481680</v>
      </c>
      <c r="K16" s="85">
        <f t="shared" ref="K16:L16" si="8">SUM(K14:K15)</f>
        <v>26477337</v>
      </c>
      <c r="L16" s="85">
        <f t="shared" si="8"/>
        <v>100068521</v>
      </c>
      <c r="M16" s="85">
        <f t="shared" ref="M16:N16" si="9">SUM(M14:M15)</f>
        <v>24620104</v>
      </c>
      <c r="N16" s="85">
        <f t="shared" si="9"/>
        <v>24232178</v>
      </c>
    </row>
    <row r="17" spans="2:16" ht="13.5" thickTop="1" x14ac:dyDescent="0.2"/>
    <row r="18" spans="2:16" x14ac:dyDescent="0.2">
      <c r="B18" s="178" t="s">
        <v>188</v>
      </c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</row>
    <row r="19" spans="2:16" x14ac:dyDescent="0.2">
      <c r="B19" s="71" t="s">
        <v>310</v>
      </c>
      <c r="C19" s="82">
        <f t="shared" ref="C19:J19" si="10">(C7*1000)/C15</f>
        <v>3.8138807965985912</v>
      </c>
      <c r="D19" s="82">
        <f t="shared" si="10"/>
        <v>3.8755367708351276</v>
      </c>
      <c r="E19" s="82">
        <f t="shared" si="10"/>
        <v>4.5457383217423413</v>
      </c>
      <c r="F19" s="82">
        <f t="shared" si="10"/>
        <v>3.9215444544357534</v>
      </c>
      <c r="G19" s="82">
        <f t="shared" ref="G19" si="11">(G7*1000)/G15</f>
        <v>4.0445029702004041</v>
      </c>
      <c r="H19" s="209">
        <f t="shared" si="10"/>
        <v>4.1007996181926991</v>
      </c>
      <c r="I19" s="209">
        <f t="shared" si="10"/>
        <v>4.2083100879433433</v>
      </c>
      <c r="J19" s="209">
        <f t="shared" si="10"/>
        <v>4.113155243783746</v>
      </c>
      <c r="K19" s="209">
        <f t="shared" ref="K19:L19" si="12">(K7*1000)/K15</f>
        <v>3.9308797544564866</v>
      </c>
      <c r="L19" s="209">
        <f t="shared" si="12"/>
        <v>4.0847564912029188</v>
      </c>
      <c r="M19" s="209">
        <f t="shared" ref="M19:N19" si="13">(M7*1000)/M15</f>
        <v>3.9997016675242172</v>
      </c>
      <c r="N19" s="209">
        <f t="shared" si="13"/>
        <v>3.948364433831784</v>
      </c>
      <c r="P19" s="131"/>
    </row>
    <row r="20" spans="2:16" x14ac:dyDescent="0.2">
      <c r="B20" s="71" t="s">
        <v>311</v>
      </c>
      <c r="C20" s="131">
        <f t="shared" ref="C20:J20" si="14">C8*1000/C16</f>
        <v>2.92679791966364</v>
      </c>
      <c r="D20" s="131">
        <f t="shared" si="14"/>
        <v>2.9241676625982653</v>
      </c>
      <c r="E20" s="131">
        <f t="shared" si="14"/>
        <v>3.2897409686362602</v>
      </c>
      <c r="F20" s="131">
        <f t="shared" si="14"/>
        <v>3.135687669778505</v>
      </c>
      <c r="G20" s="131">
        <f t="shared" ref="G20" si="15">G8*1000/G16</f>
        <v>3.0755460895292823</v>
      </c>
      <c r="H20" s="131">
        <f t="shared" si="14"/>
        <v>3.0907734445937147</v>
      </c>
      <c r="I20" s="131">
        <f t="shared" si="14"/>
        <v>3.1572796869652771</v>
      </c>
      <c r="J20" s="131">
        <f t="shared" si="14"/>
        <v>3.1243773152527314</v>
      </c>
      <c r="K20" s="131">
        <f t="shared" ref="K20:L20" si="16">K8*1000/K16</f>
        <v>2.9272636599245065</v>
      </c>
      <c r="L20" s="131">
        <f t="shared" si="16"/>
        <v>3.0717490115769341</v>
      </c>
      <c r="M20" s="131">
        <f t="shared" ref="M20:N20" si="17">M8*1000/M16</f>
        <v>3.0304825198934426</v>
      </c>
      <c r="N20" s="131">
        <f t="shared" si="17"/>
        <v>3.1102173401912889</v>
      </c>
      <c r="P20" s="131"/>
    </row>
    <row r="21" spans="2:16" x14ac:dyDescent="0.2">
      <c r="B21" s="71" t="s">
        <v>312</v>
      </c>
      <c r="C21" s="131">
        <f t="shared" ref="C21:J21" si="18">C10*1000/C16</f>
        <v>0.88708287693495147</v>
      </c>
      <c r="D21" s="131">
        <f t="shared" si="18"/>
        <v>0.95136910823686283</v>
      </c>
      <c r="E21" s="131">
        <f t="shared" si="18"/>
        <v>1.2559973531060811</v>
      </c>
      <c r="F21" s="131">
        <f t="shared" si="18"/>
        <v>0.78585678465724806</v>
      </c>
      <c r="G21" s="131">
        <f t="shared" ref="G21" si="19">G10*1000/G16</f>
        <v>0.96895688067112207</v>
      </c>
      <c r="H21" s="131">
        <f t="shared" si="18"/>
        <v>1.0100261735989839</v>
      </c>
      <c r="I21" s="131">
        <f t="shared" si="18"/>
        <v>1.051030400978066</v>
      </c>
      <c r="J21" s="131">
        <f t="shared" si="18"/>
        <v>0.98877792853101421</v>
      </c>
      <c r="K21" s="131">
        <f t="shared" ref="K21:L21" si="20">K10*1000/K16</f>
        <v>1.0036160945319794</v>
      </c>
      <c r="L21" s="131">
        <f t="shared" si="20"/>
        <v>1.0130074796259838</v>
      </c>
      <c r="M21" s="131">
        <f t="shared" ref="M21:N21" si="21">M10*1000/M16</f>
        <v>0.96921914763077455</v>
      </c>
      <c r="N21" s="131">
        <f t="shared" si="21"/>
        <v>0.83814709364049511</v>
      </c>
    </row>
    <row r="22" spans="2:16" x14ac:dyDescent="0.2">
      <c r="B22" s="52"/>
    </row>
    <row r="25" spans="2:16" x14ac:dyDescent="0.2">
      <c r="E25" s="86"/>
      <c r="F25" s="86"/>
      <c r="G25" s="86"/>
      <c r="H25" s="86"/>
      <c r="I25" s="86"/>
      <c r="J25" s="86"/>
      <c r="K25" s="86"/>
      <c r="L25" s="86"/>
      <c r="M25" s="86"/>
      <c r="N25" s="86"/>
    </row>
    <row r="26" spans="2:16" x14ac:dyDescent="0.2">
      <c r="E26" s="146"/>
      <c r="F26" s="86"/>
      <c r="G26" s="86"/>
      <c r="H26" s="86"/>
      <c r="I26" s="86"/>
      <c r="J26" s="86"/>
      <c r="K26" s="86"/>
      <c r="L26" s="86"/>
      <c r="M26" s="86"/>
      <c r="N26" s="86"/>
    </row>
    <row r="27" spans="2:16" ht="15" x14ac:dyDescent="0.25">
      <c r="B27" s="214"/>
      <c r="J27" s="86"/>
      <c r="K27" s="86"/>
      <c r="L27" s="86"/>
      <c r="M27" s="86"/>
      <c r="N27" s="8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7F27E-55D1-46E1-99AC-32222F2C0F51}">
  <dimension ref="A2:T24"/>
  <sheetViews>
    <sheetView showGridLines="0" workbookViewId="0">
      <pane xSplit="2" ySplit="6" topLeftCell="C7" activePane="bottomRight" state="frozen"/>
      <selection pane="topRight" activeCell="P28" sqref="P28"/>
      <selection pane="bottomLeft" activeCell="P28" sqref="P28"/>
      <selection pane="bottomRight" activeCell="P13" sqref="P13"/>
    </sheetView>
  </sheetViews>
  <sheetFormatPr defaultColWidth="9.140625" defaultRowHeight="15" x14ac:dyDescent="0.25"/>
  <cols>
    <col min="1" max="1" width="9.140625" style="20"/>
    <col min="2" max="2" width="25.5703125" style="64" bestFit="1" customWidth="1"/>
    <col min="3" max="3" width="13.28515625" style="20" bestFit="1" customWidth="1"/>
    <col min="4" max="5" width="12.7109375" style="20" customWidth="1"/>
    <col min="6" max="7" width="13.7109375" style="20" customWidth="1"/>
    <col min="8" max="8" width="12.7109375" style="20" customWidth="1"/>
    <col min="9" max="9" width="12.7109375" style="20" bestFit="1" customWidth="1"/>
    <col min="10" max="11" width="13.5703125" style="20" bestFit="1" customWidth="1"/>
    <col min="12" max="12" width="13.5703125" style="20" customWidth="1"/>
    <col min="13" max="14" width="13.5703125" style="20" bestFit="1" customWidth="1"/>
    <col min="15" max="15" width="12.85546875" style="20" bestFit="1" customWidth="1"/>
    <col min="16" max="16384" width="9.140625" style="20"/>
  </cols>
  <sheetData>
    <row r="2" spans="1:20" x14ac:dyDescent="0.25">
      <c r="A2" s="162">
        <f>'2023 IR Data Book'!$A$5</f>
        <v>0.27228666339922669</v>
      </c>
    </row>
    <row r="3" spans="1:20" x14ac:dyDescent="0.25">
      <c r="A3" s="162"/>
    </row>
    <row r="4" spans="1:20" ht="12.75" x14ac:dyDescent="0.2">
      <c r="B4" s="66" t="s">
        <v>285</v>
      </c>
      <c r="C4" s="66"/>
      <c r="D4" s="67"/>
      <c r="E4" s="66"/>
      <c r="F4" s="66"/>
      <c r="G4" s="66"/>
      <c r="H4" s="66"/>
      <c r="I4" s="67"/>
      <c r="J4" s="67"/>
      <c r="K4" s="67"/>
      <c r="L4" s="67"/>
      <c r="M4" s="67"/>
      <c r="N4" s="67"/>
      <c r="O4" s="241" t="s">
        <v>19</v>
      </c>
      <c r="P4" s="241"/>
      <c r="R4" s="65"/>
    </row>
    <row r="5" spans="1:20" ht="12.75" x14ac:dyDescent="0.2">
      <c r="B5" s="132"/>
      <c r="C5" s="68" t="s">
        <v>20</v>
      </c>
      <c r="D5" s="68" t="s">
        <v>21</v>
      </c>
      <c r="E5" s="68" t="s">
        <v>22</v>
      </c>
      <c r="F5" s="68" t="s">
        <v>23</v>
      </c>
      <c r="G5" s="68">
        <v>2021</v>
      </c>
      <c r="H5" s="68" t="s">
        <v>25</v>
      </c>
      <c r="I5" s="68" t="s">
        <v>26</v>
      </c>
      <c r="J5" s="68" t="s">
        <v>260</v>
      </c>
      <c r="K5" s="68" t="s">
        <v>274</v>
      </c>
      <c r="L5" s="68">
        <v>2022</v>
      </c>
      <c r="M5" s="68" t="s">
        <v>281</v>
      </c>
      <c r="N5" s="68" t="s">
        <v>297</v>
      </c>
      <c r="O5" s="68" t="str">
        <f>+'Aramex Courier'!O5</f>
        <v>Q2 23 vs Q2 22</v>
      </c>
      <c r="P5" s="68" t="s">
        <v>27</v>
      </c>
    </row>
    <row r="6" spans="1:20" ht="12.75" x14ac:dyDescent="0.2">
      <c r="B6" s="69"/>
      <c r="C6" s="70"/>
      <c r="D6" s="70"/>
      <c r="E6" s="70"/>
      <c r="F6" s="70"/>
      <c r="G6" s="70"/>
    </row>
    <row r="7" spans="1:20" x14ac:dyDescent="0.25">
      <c r="B7" s="180" t="s">
        <v>173</v>
      </c>
      <c r="C7" s="184">
        <f>288280.575940776*('2023 IR Data Book'!$A$5)</f>
        <v>78494.956145721284</v>
      </c>
      <c r="D7" s="184">
        <f>328594.887287615*('2023 IR Data Book'!$A$5)</f>
        <v>89472.005469589654</v>
      </c>
      <c r="E7" s="184">
        <f>317999.956029371*('2023 IR Data Book'!$A$5)</f>
        <v>86587.146988338238</v>
      </c>
      <c r="F7" s="184">
        <f>390676.023992678*('2023 IR Data Book'!$A$5)</f>
        <v>106375.87104304251</v>
      </c>
      <c r="G7" s="184">
        <f>SUM(C7:F7)</f>
        <v>360929.9796466917</v>
      </c>
      <c r="H7" s="184">
        <f>391132.666929349*((('2023 IR Data Book'!$A$5)))</f>
        <v>106500.2088246335</v>
      </c>
      <c r="I7" s="184">
        <f>432410.059701346*(((('2023 IR Data Book'!$A$5))))</f>
        <v>117739.49237633981</v>
      </c>
      <c r="J7" s="184">
        <f>439529.933418189*(('2023 IR Data Book'!$A$5))</f>
        <v>119678.13903452294</v>
      </c>
      <c r="K7" s="184">
        <f>421302.904555653*(('2023 IR Data Book'!$A$5))</f>
        <v>114715.16216186162</v>
      </c>
      <c r="L7" s="184">
        <f>SUM(H7:K7)</f>
        <v>458633.00239735784</v>
      </c>
      <c r="M7" s="184">
        <f>385432.399304953*((('2023 IR Data Book'!$A$5)))</f>
        <v>104948.10197270407</v>
      </c>
      <c r="N7" s="184">
        <f>358609.429712727*(((('2023 IR Data Book'!$A$5))))</f>
        <v>97644.565079978056</v>
      </c>
      <c r="O7" s="185">
        <f>(N7-I7)</f>
        <v>-20094.927296361755</v>
      </c>
      <c r="P7" s="186">
        <f>O7/I7</f>
        <v>-0.17067278693652585</v>
      </c>
      <c r="R7" s="232"/>
      <c r="T7" s="232"/>
    </row>
    <row r="8" spans="1:20" x14ac:dyDescent="0.25">
      <c r="B8" s="181" t="s">
        <v>176</v>
      </c>
      <c r="C8" s="187">
        <f>251447.615478377*('2023 IR Data Book'!$A$5)</f>
        <v>68465.832238299015</v>
      </c>
      <c r="D8" s="187">
        <f>294641.538103587*('2023 IR Data Book'!$A$5)</f>
        <v>80226.961309041813</v>
      </c>
      <c r="E8" s="187">
        <f>279789.238512976*('2023 IR Data Book'!$A$5)</f>
        <v>76182.878209708637</v>
      </c>
      <c r="F8" s="187">
        <f>345797.662241694*('2023 IR Data Book'!$A$5)</f>
        <v>94156.091663043611</v>
      </c>
      <c r="G8" s="187">
        <f>SUM(C8:F8)</f>
        <v>319031.76342009311</v>
      </c>
      <c r="H8" s="187">
        <f>339079.397942397*((('2023 IR Data Book'!$A$5)))</f>
        <v>92326.797893153882</v>
      </c>
      <c r="I8" s="187">
        <f>374509.42866716*(((('2023 IR Data Book'!$A$5))))</f>
        <v>101973.92274333161</v>
      </c>
      <c r="J8" s="187">
        <f>(378656.481028786--91.1288848682041)*(('2023 IR Data Book'!$A$5))</f>
        <v>103127.92297382078</v>
      </c>
      <c r="K8" s="187">
        <f>359342.067699344*(('2023 IR Data Book'!$A$5))</f>
        <v>97844.052632833409</v>
      </c>
      <c r="L8" s="187">
        <f>SUM(H8:K8)</f>
        <v>395272.69624313968</v>
      </c>
      <c r="M8" s="187">
        <f>324281.391121137*((('2023 IR Data Book'!$A$5)))</f>
        <v>88297.497990834017</v>
      </c>
      <c r="N8" s="187">
        <f>302008.823645774*(((('2023 IR Data Book'!$A$5))))</f>
        <v>82232.974907633179</v>
      </c>
      <c r="O8" s="188">
        <f>(N8-I8)</f>
        <v>-19740.947835698433</v>
      </c>
      <c r="P8" s="189">
        <f>O8/I8</f>
        <v>-0.19358819690977666</v>
      </c>
      <c r="R8" s="232"/>
      <c r="T8" s="232"/>
    </row>
    <row r="9" spans="1:20" x14ac:dyDescent="0.25">
      <c r="B9" s="180" t="s">
        <v>177</v>
      </c>
      <c r="C9" s="184">
        <f>C7-C8</f>
        <v>10029.123907422269</v>
      </c>
      <c r="D9" s="184">
        <f t="shared" ref="D9:I9" si="0">D7-D8</f>
        <v>9245.0441605478409</v>
      </c>
      <c r="E9" s="184">
        <f t="shared" si="0"/>
        <v>10404.268778629601</v>
      </c>
      <c r="F9" s="184">
        <f t="shared" si="0"/>
        <v>12219.779379998901</v>
      </c>
      <c r="G9" s="184">
        <f t="shared" ref="G9" si="1">G7-G8</f>
        <v>41898.216226598597</v>
      </c>
      <c r="H9" s="184">
        <f t="shared" si="0"/>
        <v>14173.410931479622</v>
      </c>
      <c r="I9" s="184">
        <f t="shared" si="0"/>
        <v>15765.569633008199</v>
      </c>
      <c r="J9" s="184">
        <f t="shared" ref="J9:K9" si="2">J7-J8</f>
        <v>16550.216060702165</v>
      </c>
      <c r="K9" s="184">
        <f t="shared" si="2"/>
        <v>16871.10952902821</v>
      </c>
      <c r="L9" s="184">
        <f t="shared" ref="L9:M9" si="3">L7-L8</f>
        <v>63360.306154218153</v>
      </c>
      <c r="M9" s="184">
        <f t="shared" si="3"/>
        <v>16650.603981870052</v>
      </c>
      <c r="N9" s="184">
        <f t="shared" ref="N9" si="4">N7-N8</f>
        <v>15411.590172344877</v>
      </c>
      <c r="O9" s="184">
        <f>(N9-I9)</f>
        <v>-353.97946066332224</v>
      </c>
      <c r="P9" s="186">
        <f>O9/I9</f>
        <v>-2.2452690825848713E-2</v>
      </c>
    </row>
    <row r="10" spans="1:20" x14ac:dyDescent="0.25">
      <c r="B10" s="182" t="s">
        <v>178</v>
      </c>
      <c r="C10" s="190">
        <f>C9/C7</f>
        <v>0.12776774967303361</v>
      </c>
      <c r="D10" s="190">
        <f t="shared" ref="D10:I10" si="5">D9/D7</f>
        <v>0.10332890284537222</v>
      </c>
      <c r="E10" s="190">
        <f t="shared" si="5"/>
        <v>0.12015950566001295</v>
      </c>
      <c r="F10" s="190">
        <f t="shared" si="5"/>
        <v>0.11487360112947469</v>
      </c>
      <c r="G10" s="190">
        <f t="shared" ref="G10" si="6">G9/G7</f>
        <v>0.1160840567126401</v>
      </c>
      <c r="H10" s="190">
        <f t="shared" si="5"/>
        <v>0.13308340976887653</v>
      </c>
      <c r="I10" s="190">
        <f t="shared" si="5"/>
        <v>0.13390213695346584</v>
      </c>
      <c r="J10" s="190">
        <f t="shared" ref="J10:K10" si="7">J9/J7</f>
        <v>0.13828938345981473</v>
      </c>
      <c r="K10" s="190">
        <f t="shared" si="7"/>
        <v>0.14706956962867115</v>
      </c>
      <c r="L10" s="190">
        <f t="shared" ref="L10:M10" si="8">L9/L7</f>
        <v>0.1381503420447773</v>
      </c>
      <c r="M10" s="190">
        <f t="shared" si="8"/>
        <v>0.15865559899502235</v>
      </c>
      <c r="N10" s="190">
        <f t="shared" ref="N10" si="9">N9/N7</f>
        <v>0.15783356871651438</v>
      </c>
      <c r="O10" s="190"/>
      <c r="P10" s="190"/>
    </row>
    <row r="11" spans="1:20" x14ac:dyDescent="0.25">
      <c r="B11" s="72" t="s">
        <v>179</v>
      </c>
      <c r="C11" s="191">
        <f>32732.6409250042*('2023 IR Data Book'!$A$5)</f>
        <v>8912.661581714372</v>
      </c>
      <c r="D11" s="191">
        <f>34550.7422333988*('2023 IR Data Book'!$A$5)</f>
        <v>9407.7063206989042</v>
      </c>
      <c r="E11" s="191">
        <f>33417.1568083944*('2023 IR Data Book'!$A$5)</f>
        <v>9099.046127646463</v>
      </c>
      <c r="F11" s="191">
        <f>40446.1853529885*('2023 IR Data Book'!$A$5)</f>
        <v>11012.956856991912</v>
      </c>
      <c r="G11" s="191">
        <f>SUM(C11:F11)</f>
        <v>38432.370887051649</v>
      </c>
      <c r="H11" s="191">
        <f>35550.2469212581*((('2023 IR Data Book'!$A$5)))</f>
        <v>9679.8581172079994</v>
      </c>
      <c r="I11" s="191">
        <f>39710.4127399845*(((('2023 IR Data Book'!$A$5))))</f>
        <v>10812.615787176514</v>
      </c>
      <c r="J11" s="191">
        <f>(38414.9799334238-4.39392664916194-4.76633426836378)*(('2023 IR Data Book'!$A$5))</f>
        <v>10457.392493739113</v>
      </c>
      <c r="K11" s="191">
        <f>41449.4234540712*(('2023 IR Data Book'!$A$5))</f>
        <v>11286.125212130697</v>
      </c>
      <c r="L11" s="191">
        <f>SUM(H11:K11)</f>
        <v>42235.991610254321</v>
      </c>
      <c r="M11" s="191">
        <f>38530.4366974136*((('2023 IR Data Book'!$A$5)))</f>
        <v>10491.324047653869</v>
      </c>
      <c r="N11" s="191">
        <f>39814.9087429615*(((('2023 IR Data Book'!$A$5))))</f>
        <v>10841.068655165693</v>
      </c>
      <c r="O11" s="192">
        <f>(N11-I11)</f>
        <v>28.45286798917914</v>
      </c>
      <c r="P11" s="189">
        <f>O11/I11</f>
        <v>2.6314509411241188E-3</v>
      </c>
      <c r="R11" s="232"/>
      <c r="T11" s="232"/>
    </row>
    <row r="12" spans="1:20" x14ac:dyDescent="0.25">
      <c r="B12" s="73" t="s">
        <v>180</v>
      </c>
      <c r="C12" s="193">
        <f>3822.92049566416*('2023 IR Data Book'!$A$5)</f>
        <v>1040.930266204912</v>
      </c>
      <c r="D12" s="193">
        <f>171.814102409621*('2023 IR Data Book'!$A$5)</f>
        <v>46.782688670048735</v>
      </c>
      <c r="E12" s="193">
        <f>5640.07082045135*('2023 IR Data Book'!$A$5)</f>
        <v>1535.7160650360372</v>
      </c>
      <c r="F12" s="193">
        <f>4136.80991535253*('2023 IR Data Book'!$A$5)</f>
        <v>1126.3981689681777</v>
      </c>
      <c r="G12" s="193">
        <f>SUM(C12:F12)</f>
        <v>3749.8271888791755</v>
      </c>
      <c r="H12" s="193">
        <f>14772.9469336429*((('2023 IR Data Book'!$A$5)))</f>
        <v>4022.4764291354622</v>
      </c>
      <c r="I12" s="193">
        <f>17186.7608977198*(((('2023 IR Data Book'!$A$5))))</f>
        <v>4679.7257794804118</v>
      </c>
      <c r="J12" s="193">
        <f>(23649.3192942625-86.7348680146739+4.7662891663199)*(('2023 IR Data Book'!$A$5))</f>
        <v>6417.0752914594959</v>
      </c>
      <c r="K12" s="193">
        <f>16338.8952264309*(('2023 IR Data Book'!$A$5))</f>
        <v>4448.8632648344219</v>
      </c>
      <c r="L12" s="193">
        <f>SUM(H12:K12)</f>
        <v>19568.140764909793</v>
      </c>
      <c r="M12" s="193">
        <f>20526.1305095385*((('2023 IR Data Book'!$A$5)))</f>
        <v>5588.9915889393069</v>
      </c>
      <c r="N12" s="193">
        <f>15543.7240725677*(((('2023 IR Data Book'!$A$5))))</f>
        <v>4232.3487645177056</v>
      </c>
      <c r="O12" s="193">
        <f>(N12-I12)</f>
        <v>-447.3770149627062</v>
      </c>
      <c r="P12" s="194">
        <f>O12/I12</f>
        <v>-9.5598980804464634E-2</v>
      </c>
      <c r="R12" s="28"/>
      <c r="T12" s="28"/>
    </row>
    <row r="13" spans="1:20" x14ac:dyDescent="0.25">
      <c r="B13" s="64" t="s">
        <v>181</v>
      </c>
      <c r="C13" s="190">
        <f>C12/C7</f>
        <v>1.3261110233280289E-2</v>
      </c>
      <c r="D13" s="190">
        <f>D12/D7</f>
        <v>5.2287515435148646E-4</v>
      </c>
      <c r="E13" s="190">
        <f t="shared" ref="E13:I13" si="10">E12/E7</f>
        <v>1.7736074214835501E-2</v>
      </c>
      <c r="F13" s="190">
        <f t="shared" si="10"/>
        <v>1.0588850252633016E-2</v>
      </c>
      <c r="G13" s="190">
        <f t="shared" si="10"/>
        <v>1.0389348073966641E-2</v>
      </c>
      <c r="H13" s="190">
        <f t="shared" si="10"/>
        <v>3.7769657670427621E-2</v>
      </c>
      <c r="I13" s="190">
        <f t="shared" si="10"/>
        <v>3.9746440935232198E-2</v>
      </c>
      <c r="J13" s="190">
        <f t="shared" ref="J13:L13" si="11">J12/J7</f>
        <v>5.3619444146005606E-2</v>
      </c>
      <c r="K13" s="190">
        <f t="shared" si="11"/>
        <v>3.8781824311568625E-2</v>
      </c>
      <c r="L13" s="190">
        <f t="shared" si="11"/>
        <v>4.2666229125735769E-2</v>
      </c>
      <c r="M13" s="190">
        <f t="shared" ref="M13:N13" si="12">M12/M7</f>
        <v>5.3254813416186854E-2</v>
      </c>
      <c r="N13" s="190">
        <f t="shared" si="12"/>
        <v>4.3344437665845524E-2</v>
      </c>
      <c r="O13" s="190"/>
      <c r="P13" s="190"/>
    </row>
    <row r="14" spans="1:20" x14ac:dyDescent="0.25">
      <c r="B14" s="73" t="s">
        <v>182</v>
      </c>
      <c r="C14" s="193">
        <f>11649.503469717*('2023 IR Data Book'!$A$5)</f>
        <v>3172.004430026956</v>
      </c>
      <c r="D14" s="193">
        <f>7725.88673752908*('2023 IR Data Book'!$A$5)</f>
        <v>2103.6559215621305</v>
      </c>
      <c r="E14" s="193">
        <f>12316.8417705766*('2023 IR Data Book'!$A$5)</f>
        <v>3353.7117493265259</v>
      </c>
      <c r="F14" s="193">
        <f>11482.2707390202*('2023 IR Data Book'!$A$5)</f>
        <v>3126.469187774383</v>
      </c>
      <c r="G14" s="193">
        <f>SUM(C14:F14)</f>
        <v>11755.841288689995</v>
      </c>
      <c r="H14" s="193">
        <f>21659.145108213*((('2023 IR Data Book'!$A$5)))</f>
        <v>5897.496353595001</v>
      </c>
      <c r="I14" s="193">
        <f>24717.5768034835*(((('2023 IR Data Book'!$A$5))))</f>
        <v>6730.2665151346437</v>
      </c>
      <c r="J14" s="193">
        <f>(31379.0339348859-87.8817914099559+3.53117222749762)*(('2023 IR Data Book'!$A$5))</f>
        <v>8521.1249021683379</v>
      </c>
      <c r="K14" s="193">
        <f>23447.4167367756*(('2023 IR Data Book'!$A$5))</f>
        <v>6384.4188685878125</v>
      </c>
      <c r="L14" s="193">
        <f>SUM(H14:K14)</f>
        <v>27533.306639485796</v>
      </c>
      <c r="M14" s="193">
        <f>27676.3100070397*((('2023 IR Data Book'!$A$5)))</f>
        <v>7535.8901070194688</v>
      </c>
      <c r="N14" s="193">
        <f>22324.5220980563*(((('2023 IR Data Book'!$A$5))))</f>
        <v>6078.669634062052</v>
      </c>
      <c r="O14" s="193">
        <f>(N14-I14)</f>
        <v>-651.59688107259171</v>
      </c>
      <c r="P14" s="194">
        <f>O14/I14</f>
        <v>-9.6815910574613556E-2</v>
      </c>
      <c r="R14" s="28"/>
      <c r="T14" s="28"/>
    </row>
    <row r="15" spans="1:20" x14ac:dyDescent="0.25">
      <c r="B15" s="64" t="s">
        <v>183</v>
      </c>
      <c r="C15" s="190">
        <f>C14/C7</f>
        <v>4.0410296225127075E-2</v>
      </c>
      <c r="D15" s="190">
        <f t="shared" ref="D15:I15" si="13">D14/D7</f>
        <v>2.3511889674554521E-2</v>
      </c>
      <c r="E15" s="190">
        <f t="shared" si="13"/>
        <v>3.873221218130922E-2</v>
      </c>
      <c r="F15" s="190">
        <f t="shared" si="13"/>
        <v>2.9390774027216477E-2</v>
      </c>
      <c r="G15" s="190">
        <f t="shared" si="13"/>
        <v>3.2570974847247629E-2</v>
      </c>
      <c r="H15" s="190">
        <f t="shared" si="13"/>
        <v>5.537544403603939E-2</v>
      </c>
      <c r="I15" s="190">
        <f t="shared" si="13"/>
        <v>5.7162353763358979E-2</v>
      </c>
      <c r="J15" s="190">
        <f t="shared" ref="J15:L15" si="14">J14/J7</f>
        <v>7.1200345952156657E-2</v>
      </c>
      <c r="K15" s="190">
        <f t="shared" si="14"/>
        <v>5.5654533788475839E-2</v>
      </c>
      <c r="L15" s="190">
        <f t="shared" si="14"/>
        <v>6.0033417777535007E-2</v>
      </c>
      <c r="M15" s="190">
        <f t="shared" ref="M15:N15" si="15">M14/M7</f>
        <v>7.1805873239894111E-2</v>
      </c>
      <c r="N15" s="190">
        <f t="shared" si="15"/>
        <v>6.2253025850268019E-2</v>
      </c>
      <c r="O15" s="190"/>
      <c r="P15" s="190"/>
    </row>
    <row r="17" spans="2:16" x14ac:dyDescent="0.25">
      <c r="B17" s="72" t="s">
        <v>184</v>
      </c>
      <c r="H17" s="28"/>
    </row>
    <row r="18" spans="2:16" x14ac:dyDescent="0.25">
      <c r="B18" s="72"/>
      <c r="C18" s="68" t="s">
        <v>20</v>
      </c>
      <c r="D18" s="68" t="s">
        <v>21</v>
      </c>
      <c r="E18" s="68" t="s">
        <v>22</v>
      </c>
      <c r="F18" s="68" t="s">
        <v>23</v>
      </c>
      <c r="G18" s="202">
        <v>2021</v>
      </c>
      <c r="H18" s="68" t="s">
        <v>25</v>
      </c>
      <c r="I18" s="68" t="s">
        <v>26</v>
      </c>
      <c r="J18" s="68" t="s">
        <v>260</v>
      </c>
      <c r="K18" s="68" t="s">
        <v>274</v>
      </c>
      <c r="L18" s="202">
        <v>2022</v>
      </c>
      <c r="M18" s="68" t="s">
        <v>281</v>
      </c>
      <c r="N18" s="68" t="s">
        <v>297</v>
      </c>
    </row>
    <row r="19" spans="2:16" ht="12.75" x14ac:dyDescent="0.2">
      <c r="B19" s="217" t="s">
        <v>197</v>
      </c>
      <c r="C19" s="218">
        <v>5951</v>
      </c>
      <c r="D19" s="219">
        <v>5937</v>
      </c>
      <c r="E19" s="219">
        <v>6294</v>
      </c>
      <c r="F19" s="219">
        <v>7680</v>
      </c>
      <c r="G19" s="219">
        <f>SUM(C19:F19)</f>
        <v>25862</v>
      </c>
      <c r="H19" s="219">
        <v>7271</v>
      </c>
      <c r="I19" s="220">
        <v>6794</v>
      </c>
      <c r="J19" s="220">
        <v>7355</v>
      </c>
      <c r="K19" s="228">
        <v>7616</v>
      </c>
      <c r="L19" s="228">
        <f>SUM(H19:K19)</f>
        <v>29036</v>
      </c>
      <c r="M19" s="228">
        <v>6829</v>
      </c>
      <c r="N19" s="228">
        <v>6582</v>
      </c>
      <c r="O19" s="146"/>
      <c r="P19" s="2"/>
    </row>
    <row r="20" spans="2:16" ht="12.75" x14ac:dyDescent="0.2">
      <c r="B20" s="221" t="s">
        <v>198</v>
      </c>
      <c r="C20" s="222">
        <v>34763989.210000053</v>
      </c>
      <c r="D20" s="223">
        <v>37260459.126000009</v>
      </c>
      <c r="E20" s="223">
        <v>39762128.206000052</v>
      </c>
      <c r="F20" s="223">
        <v>40009071.34800002</v>
      </c>
      <c r="G20" s="223">
        <f t="shared" ref="G20:G23" si="16">SUM(C20:F20)</f>
        <v>151795647.89000013</v>
      </c>
      <c r="H20" s="223">
        <v>36921430</v>
      </c>
      <c r="I20" s="224">
        <v>39173304</v>
      </c>
      <c r="J20" s="224">
        <v>38523420</v>
      </c>
      <c r="K20" s="229">
        <v>38871375.280000068</v>
      </c>
      <c r="L20" s="229">
        <f t="shared" ref="L20:L23" si="17">SUM(H20:K20)</f>
        <v>153489529.28000006</v>
      </c>
      <c r="M20" s="229">
        <v>36357055.587000057</v>
      </c>
      <c r="N20" s="229">
        <v>38483702.320000142</v>
      </c>
      <c r="O20" s="146"/>
      <c r="P20" s="2"/>
    </row>
    <row r="21" spans="2:16" ht="12.75" x14ac:dyDescent="0.2">
      <c r="B21" s="221" t="s">
        <v>199</v>
      </c>
      <c r="C21" s="223">
        <v>9007.6500000000015</v>
      </c>
      <c r="D21" s="223">
        <v>9298.0000000000018</v>
      </c>
      <c r="E21" s="223">
        <v>8662.9500000000007</v>
      </c>
      <c r="F21" s="223">
        <v>7814.7999999999993</v>
      </c>
      <c r="G21" s="223">
        <f t="shared" si="16"/>
        <v>34783.4</v>
      </c>
      <c r="H21" s="223">
        <v>8142</v>
      </c>
      <c r="I21" s="224">
        <v>6833</v>
      </c>
      <c r="J21" s="224">
        <v>7766</v>
      </c>
      <c r="K21" s="229">
        <v>8392.3499999999913</v>
      </c>
      <c r="L21" s="229">
        <f t="shared" si="17"/>
        <v>31133.349999999991</v>
      </c>
      <c r="M21" s="229">
        <v>7003.4999999999991</v>
      </c>
      <c r="N21" s="229">
        <v>8038.6</v>
      </c>
      <c r="O21" s="146"/>
      <c r="P21" s="2"/>
    </row>
    <row r="22" spans="2:16" ht="12.75" x14ac:dyDescent="0.2">
      <c r="B22" s="221" t="s">
        <v>200</v>
      </c>
      <c r="C22" s="223">
        <v>13124.366</v>
      </c>
      <c r="D22" s="223">
        <v>7500.2289999999994</v>
      </c>
      <c r="E22" s="223">
        <v>8441.005000000001</v>
      </c>
      <c r="F22" s="223">
        <v>9689.8050000000003</v>
      </c>
      <c r="G22" s="223">
        <f t="shared" si="16"/>
        <v>38755.404999999999</v>
      </c>
      <c r="H22" s="223">
        <v>5225</v>
      </c>
      <c r="I22" s="224">
        <v>4033</v>
      </c>
      <c r="J22" s="224">
        <v>4759</v>
      </c>
      <c r="K22" s="229">
        <v>4508.5740000000005</v>
      </c>
      <c r="L22" s="229">
        <f t="shared" si="17"/>
        <v>18525.574000000001</v>
      </c>
      <c r="M22" s="229">
        <v>6071.5969999999998</v>
      </c>
      <c r="N22" s="229">
        <v>5575.7790000000005</v>
      </c>
      <c r="O22" s="146"/>
      <c r="P22" s="2"/>
    </row>
    <row r="23" spans="2:16" ht="12.75" x14ac:dyDescent="0.2">
      <c r="B23" s="225" t="s">
        <v>201</v>
      </c>
      <c r="C23" s="226">
        <v>11113174.231000002</v>
      </c>
      <c r="D23" s="226">
        <v>11376366.989000002</v>
      </c>
      <c r="E23" s="226">
        <v>12392469.461000001</v>
      </c>
      <c r="F23" s="226">
        <v>11950161.360000003</v>
      </c>
      <c r="G23" s="226">
        <f t="shared" si="16"/>
        <v>46832172.041000009</v>
      </c>
      <c r="H23" s="226">
        <v>12740840</v>
      </c>
      <c r="I23" s="227">
        <v>16432000</v>
      </c>
      <c r="J23" s="227">
        <v>11773193</v>
      </c>
      <c r="K23" s="230">
        <v>11579800.640000001</v>
      </c>
      <c r="L23" s="230">
        <f t="shared" si="17"/>
        <v>52525833.640000001</v>
      </c>
      <c r="M23" s="230">
        <v>11158985.635</v>
      </c>
      <c r="N23" s="230">
        <v>10813056.409</v>
      </c>
      <c r="O23" s="146"/>
      <c r="P23" s="2"/>
    </row>
    <row r="24" spans="2:16" ht="12.75" x14ac:dyDescent="0.2">
      <c r="B24" s="160"/>
    </row>
  </sheetData>
  <mergeCells count="1">
    <mergeCell ref="O4:P4"/>
  </mergeCells>
  <pageMargins left="0.7" right="0.7" top="0.75" bottom="0.75" header="0.3" footer="0.3"/>
  <pageSetup orientation="portrait" horizontalDpi="1200" verticalDpi="1200" r:id="rId1"/>
  <ignoredErrors>
    <ignoredError sqref="G13 L1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BCBF8119AA9641923D0AE9145F3CAD" ma:contentTypeVersion="9" ma:contentTypeDescription="Create a new document." ma:contentTypeScope="" ma:versionID="7a78356a9be954b633de71761fb39738">
  <xsd:schema xmlns:xsd="http://www.w3.org/2001/XMLSchema" xmlns:xs="http://www.w3.org/2001/XMLSchema" xmlns:p="http://schemas.microsoft.com/office/2006/metadata/properties" xmlns:ns1="http://schemas.microsoft.com/sharepoint/v3" xmlns:ns2="a81bb348-8ee9-4097-92ba-693a2f35bfaa" targetNamespace="http://schemas.microsoft.com/office/2006/metadata/properties" ma:root="true" ma:fieldsID="614773b181515c8a10f32413014b2258" ns1:_="" ns2:_="">
    <xsd:import namespace="http://schemas.microsoft.com/sharepoint/v3"/>
    <xsd:import namespace="a81bb348-8ee9-4097-92ba-693a2f35bf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bb348-8ee9-4097-92ba-693a2f35bf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A331388-BAE5-410E-8154-30D3AA166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2393E1-24B7-4AEF-9432-DD417C7CE4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81bb348-8ee9-4097-92ba-693a2f35bf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5BA8FC-D23C-4F93-A85B-8CB4C25C10C8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a81bb348-8ee9-4097-92ba-693a2f35bfaa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2023 IR Data Book</vt:lpstr>
      <vt:lpstr>Contents</vt:lpstr>
      <vt:lpstr>Group Profit &amp; Loss Stm</vt:lpstr>
      <vt:lpstr>Group Balance Sheet</vt:lpstr>
      <vt:lpstr>Group CF and CAPEX</vt:lpstr>
      <vt:lpstr>Aramex Courier</vt:lpstr>
      <vt:lpstr>Aramex Express</vt:lpstr>
      <vt:lpstr>Aramex Domestic</vt:lpstr>
      <vt:lpstr>Aramex Freight</vt:lpstr>
      <vt:lpstr>Aramex Logistics</vt:lpstr>
      <vt:lpstr>Regional Breakdown</vt:lpstr>
      <vt:lpstr>Historic_Product_Breakdown</vt:lpstr>
      <vt:lpstr>Historic Express Rev_Vol_ Data</vt:lpstr>
      <vt:lpstr>Key figures and ratios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Usman Syed</dc:creator>
  <cp:keywords/>
  <dc:description/>
  <cp:lastModifiedBy>Anca Cighi</cp:lastModifiedBy>
  <cp:revision/>
  <dcterms:created xsi:type="dcterms:W3CDTF">2021-07-29T06:01:51Z</dcterms:created>
  <dcterms:modified xsi:type="dcterms:W3CDTF">2023-08-09T12:31:44Z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0x01010023BCBF8119AA9641923D0AE9145F3CAD</vt:lpwstr>
  </property>
  <property fmtid="{D5CDD505-2E9C-101B-9397-08002B2CF9AE}" pid="3" name="MSIP_Label_5c15bd85-9f84-4ab9-b6e1-ccb9127e3d2a_Enabled">
    <vt:lpwstr>true</vt:lpwstr>
  </property>
  <property fmtid="{D5CDD505-2E9C-101B-9397-08002B2CF9AE}" pid="4" name="MSIP_Label_5c15bd85-9f84-4ab9-b6e1-ccb9127e3d2a_SetDate">
    <vt:lpwstr>2022-01-14T10:55:21Z</vt:lpwstr>
  </property>
  <property fmtid="{D5CDD505-2E9C-101B-9397-08002B2CF9AE}" pid="5" name="MSIP_Label_5c15bd85-9f84-4ab9-b6e1-ccb9127e3d2a_Method">
    <vt:lpwstr>Privileged</vt:lpwstr>
  </property>
  <property fmtid="{D5CDD505-2E9C-101B-9397-08002B2CF9AE}" pid="6" name="MSIP_Label_5c15bd85-9f84-4ab9-b6e1-ccb9127e3d2a_Name">
    <vt:lpwstr>Internal Classification</vt:lpwstr>
  </property>
  <property fmtid="{D5CDD505-2E9C-101B-9397-08002B2CF9AE}" pid="7" name="MSIP_Label_5c15bd85-9f84-4ab9-b6e1-ccb9127e3d2a_SiteId">
    <vt:lpwstr>43aa4ce1-f125-4390-a30c-5375aae87717</vt:lpwstr>
  </property>
  <property fmtid="{D5CDD505-2E9C-101B-9397-08002B2CF9AE}" pid="8" name="MSIP_Label_5c15bd85-9f84-4ab9-b6e1-ccb9127e3d2a_ActionId">
    <vt:lpwstr>d254e9e8-ade7-4e39-9d22-6a4a2f08937a</vt:lpwstr>
  </property>
  <property fmtid="{D5CDD505-2E9C-101B-9397-08002B2CF9AE}" pid="9" name="MSIP_Label_5c15bd85-9f84-4ab9-b6e1-ccb9127e3d2a_ContentBits">
    <vt:lpwstr>0</vt:lpwstr>
  </property>
</Properties>
</file>