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mex-my.sharepoint.com/personal/anca_aramex_com/Documents/Desktop/Quarterly results/Q3 2023/IR Data Book/"/>
    </mc:Choice>
  </mc:AlternateContent>
  <xr:revisionPtr revIDLastSave="4593" documentId="14_{F62119E0-49E5-40E7-AB9F-105E77BE6FF4}" xr6:coauthVersionLast="47" xr6:coauthVersionMax="47" xr10:uidLastSave="{13429E4B-7F85-4D3B-BAEF-C981EA474D8B}"/>
  <bookViews>
    <workbookView xWindow="-120" yWindow="-120" windowWidth="20730" windowHeight="11160" tabRatio="914" xr2:uid="{57DDC26A-0058-42D3-AF50-F9A5729AB588}"/>
  </bookViews>
  <sheets>
    <sheet name="2023 IR Data Book" sheetId="5" r:id="rId1"/>
    <sheet name="Contents" sheetId="20" r:id="rId2"/>
    <sheet name="Group Profit &amp; Loss Stm" sheetId="11" r:id="rId3"/>
    <sheet name="Group Balance Sheet" sheetId="10" r:id="rId4"/>
    <sheet name="Group CF and CAPEX" sheetId="12" r:id="rId5"/>
    <sheet name="Aramex Courier" sheetId="13" r:id="rId6"/>
    <sheet name="Aramex Express+SNS" sheetId="24" r:id="rId7"/>
    <sheet name="Aramex Domestic" sheetId="25" r:id="rId8"/>
    <sheet name="Aramex Freight" sheetId="14" r:id="rId9"/>
    <sheet name="Aramex Logistics" sheetId="15" r:id="rId10"/>
    <sheet name="Regional Breakdown" sheetId="9" r:id="rId11"/>
    <sheet name="Historic_Product_Breakdown" sheetId="7" r:id="rId12"/>
    <sheet name="Historic Express Rev_Vol_ Data" sheetId="6" r:id="rId13"/>
    <sheet name="Key figures and ratios" sheetId="2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bd" localSheetId="7">'[1]SCHEDULE 3'!#REF!</definedName>
    <definedName name="bd" localSheetId="6">'[1]SCHEDULE 3'!#REF!</definedName>
    <definedName name="bd">'[1]SCHEDULE 3'!#REF!</definedName>
    <definedName name="code">[2]Index!$C$30</definedName>
    <definedName name="Currency" localSheetId="7">'[3]Act''21 vs Act''20-Month'!#REF!</definedName>
    <definedName name="Currency" localSheetId="6">'[3]Act''21 vs Act''20-Month'!#REF!</definedName>
    <definedName name="Currency" localSheetId="12">'[3]Act''21 vs Act''20-Month'!#REF!</definedName>
    <definedName name="Currency" localSheetId="13">'[3]Act''21 vs Act''20-Month'!#REF!</definedName>
    <definedName name="Currency">'[3]Act''21 vs Act''20-Month'!#REF!</definedName>
    <definedName name="Currency1">'[4]Act''22 vs Act''21-Month'!#REF!</definedName>
    <definedName name="entity">[2]Index!$B$33</definedName>
    <definedName name="index">[2]Index!$B$36</definedName>
    <definedName name="MM">[5]XRates!$B$2</definedName>
    <definedName name="USD">[6]XRates!$B$1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4" l="1"/>
  <c r="N213" i="9"/>
  <c r="L213" i="9"/>
  <c r="N212" i="9"/>
  <c r="L212" i="9"/>
  <c r="E213" i="9"/>
  <c r="C213" i="9"/>
  <c r="E212" i="9"/>
  <c r="C212" i="9"/>
  <c r="L32" i="6" l="1"/>
  <c r="L31" i="6"/>
  <c r="K32" i="6"/>
  <c r="P23" i="14" l="1"/>
  <c r="Q23" i="14" s="1"/>
  <c r="P22" i="14"/>
  <c r="Q22" i="14" s="1"/>
  <c r="P21" i="14"/>
  <c r="Q21" i="14" s="1"/>
  <c r="P20" i="14"/>
  <c r="Q20" i="14" s="1"/>
  <c r="Q19" i="14"/>
  <c r="O16" i="25" l="1"/>
  <c r="O16" i="24"/>
  <c r="O21" i="13" l="1"/>
  <c r="K31" i="6" l="1"/>
  <c r="J31" i="6"/>
  <c r="J32" i="6"/>
  <c r="N16" i="25"/>
  <c r="N16" i="24"/>
  <c r="N21" i="13" l="1"/>
  <c r="N29" i="6" l="1"/>
  <c r="M29" i="6"/>
  <c r="L29" i="6"/>
  <c r="K29" i="6"/>
  <c r="J29" i="6"/>
  <c r="M32" i="6"/>
  <c r="M31" i="6"/>
  <c r="M30" i="6" s="1"/>
  <c r="L30" i="6"/>
  <c r="K30" i="6"/>
  <c r="M16" i="25" l="1"/>
  <c r="M16" i="24"/>
  <c r="M21" i="13" l="1"/>
  <c r="L23" i="14" l="1"/>
  <c r="L22" i="14"/>
  <c r="L21" i="14"/>
  <c r="L20" i="14"/>
  <c r="L19" i="14"/>
  <c r="G23" i="14"/>
  <c r="G22" i="14"/>
  <c r="G21" i="14"/>
  <c r="G20" i="14"/>
  <c r="G19" i="14"/>
  <c r="L15" i="25" l="1"/>
  <c r="L16" i="25" s="1"/>
  <c r="G15" i="25"/>
  <c r="G16" i="25" s="1"/>
  <c r="G20" i="13"/>
  <c r="G21" i="13" s="1"/>
  <c r="G19" i="13"/>
  <c r="G15" i="24"/>
  <c r="G16" i="24" l="1"/>
  <c r="H13" i="22" l="1"/>
  <c r="H12" i="22"/>
  <c r="H11" i="22"/>
  <c r="C210" i="9" l="1"/>
  <c r="K16" i="25" l="1"/>
  <c r="K16" i="24"/>
  <c r="N31" i="6" l="1"/>
  <c r="K21" i="13"/>
  <c r="P168" i="9" l="1"/>
  <c r="L246" i="9" s="1"/>
  <c r="M246" i="9" s="1"/>
  <c r="P147" i="9"/>
  <c r="L245" i="9" s="1"/>
  <c r="M245" i="9" s="1"/>
  <c r="P126" i="9"/>
  <c r="L244" i="9" s="1"/>
  <c r="M244" i="9" s="1"/>
  <c r="P105" i="9"/>
  <c r="L243" i="9" s="1"/>
  <c r="M243" i="9" s="1"/>
  <c r="G168" i="9"/>
  <c r="C246" i="9" s="1"/>
  <c r="D246" i="9" s="1"/>
  <c r="G147" i="9"/>
  <c r="C245" i="9" s="1"/>
  <c r="D245" i="9" s="1"/>
  <c r="G21" i="9"/>
  <c r="C239" i="9" s="1"/>
  <c r="D239" i="9" s="1"/>
  <c r="G105" i="9"/>
  <c r="C243" i="9" s="1"/>
  <c r="D243" i="9" s="1"/>
  <c r="G126" i="9"/>
  <c r="C244" i="9" s="1"/>
  <c r="D244" i="9" s="1"/>
  <c r="J16" i="25" l="1"/>
  <c r="I16" i="25"/>
  <c r="F16" i="25"/>
  <c r="E16" i="25"/>
  <c r="D16" i="25"/>
  <c r="C16" i="25"/>
  <c r="H16" i="25"/>
  <c r="J16" i="24" l="1"/>
  <c r="I16" i="24"/>
  <c r="F16" i="24"/>
  <c r="E16" i="24"/>
  <c r="D16" i="24"/>
  <c r="C16" i="24"/>
  <c r="H15" i="24"/>
  <c r="L15" i="24" l="1"/>
  <c r="H16" i="24"/>
  <c r="L16" i="24" l="1"/>
  <c r="G13" i="22"/>
  <c r="G12" i="22"/>
  <c r="G11" i="22"/>
  <c r="F11" i="22"/>
  <c r="F12" i="22"/>
  <c r="F13" i="22"/>
  <c r="P5" i="15" l="1"/>
  <c r="P5" i="14"/>
  <c r="J21" i="13" l="1"/>
  <c r="N193" i="9" l="1"/>
  <c r="L193" i="9"/>
  <c r="N175" i="9"/>
  <c r="L175" i="9"/>
  <c r="N166" i="9"/>
  <c r="L166" i="9"/>
  <c r="N154" i="9"/>
  <c r="L154" i="9"/>
  <c r="N145" i="9"/>
  <c r="L145" i="9"/>
  <c r="N133" i="9"/>
  <c r="L133" i="9"/>
  <c r="N124" i="9"/>
  <c r="L124" i="9"/>
  <c r="N112" i="9"/>
  <c r="L112" i="9"/>
  <c r="N103" i="9"/>
  <c r="L103" i="9"/>
  <c r="N91" i="9"/>
  <c r="L91" i="9"/>
  <c r="N82" i="9"/>
  <c r="L82" i="9"/>
  <c r="N70" i="9"/>
  <c r="L70" i="9"/>
  <c r="N61" i="9"/>
  <c r="L61" i="9"/>
  <c r="N49" i="9"/>
  <c r="L49" i="9"/>
  <c r="N40" i="9"/>
  <c r="L40" i="9"/>
  <c r="N28" i="9"/>
  <c r="L28" i="9"/>
  <c r="N19" i="9"/>
  <c r="L19" i="9"/>
  <c r="A5" i="5" l="1"/>
  <c r="A4" i="5"/>
  <c r="A2" i="5"/>
  <c r="E73" i="9" l="1"/>
  <c r="E74" i="9"/>
  <c r="J15" i="13"/>
  <c r="J7" i="14"/>
  <c r="J14" i="14"/>
  <c r="J13" i="13"/>
  <c r="J12" i="14"/>
  <c r="J12" i="13"/>
  <c r="J11" i="14"/>
  <c r="J8" i="13"/>
  <c r="J8" i="14"/>
  <c r="J7" i="13"/>
  <c r="J8" i="25"/>
  <c r="J7" i="25"/>
  <c r="E27" i="6" s="1"/>
  <c r="M64" i="12"/>
  <c r="E64" i="12"/>
  <c r="D64" i="12"/>
  <c r="K64" i="12"/>
  <c r="C64" i="12"/>
  <c r="J64" i="12"/>
  <c r="I64" i="12"/>
  <c r="G64" i="12"/>
  <c r="F64" i="12"/>
  <c r="L64" i="12"/>
  <c r="H64" i="12"/>
  <c r="M61" i="12"/>
  <c r="M40" i="12"/>
  <c r="M39" i="12"/>
  <c r="M27" i="12"/>
  <c r="M46" i="12"/>
  <c r="M28" i="10"/>
  <c r="M33" i="10"/>
  <c r="M42" i="10"/>
  <c r="M8" i="10"/>
  <c r="H132" i="7"/>
  <c r="H130" i="7"/>
  <c r="H128" i="7"/>
  <c r="H127" i="7"/>
  <c r="N181" i="9"/>
  <c r="L178" i="9"/>
  <c r="N156" i="9"/>
  <c r="N139" i="9"/>
  <c r="L136" i="9"/>
  <c r="N114" i="9"/>
  <c r="N97" i="9"/>
  <c r="L94" i="9"/>
  <c r="N72" i="9"/>
  <c r="N55" i="9"/>
  <c r="L52" i="9"/>
  <c r="N30" i="9"/>
  <c r="N12" i="9"/>
  <c r="L9" i="9"/>
  <c r="E177" i="9"/>
  <c r="E160" i="9"/>
  <c r="C157" i="9"/>
  <c r="E135" i="9"/>
  <c r="E118" i="9"/>
  <c r="C115" i="9"/>
  <c r="E93" i="9"/>
  <c r="E76" i="9"/>
  <c r="C73" i="9"/>
  <c r="E51" i="9"/>
  <c r="E34" i="9"/>
  <c r="C31" i="9"/>
  <c r="E8" i="9"/>
  <c r="N180" i="9"/>
  <c r="L177" i="9"/>
  <c r="L160" i="9"/>
  <c r="N138" i="9"/>
  <c r="L135" i="9"/>
  <c r="L118" i="9"/>
  <c r="N96" i="9"/>
  <c r="L93" i="9"/>
  <c r="L76" i="9"/>
  <c r="N54" i="9"/>
  <c r="L51" i="9"/>
  <c r="L34" i="9"/>
  <c r="N11" i="9"/>
  <c r="L8" i="9"/>
  <c r="C181" i="9"/>
  <c r="E159" i="9"/>
  <c r="C156" i="9"/>
  <c r="C139" i="9"/>
  <c r="E117" i="9"/>
  <c r="C114" i="9"/>
  <c r="C97" i="9"/>
  <c r="E75" i="9"/>
  <c r="C72" i="9"/>
  <c r="C55" i="9"/>
  <c r="E33" i="9"/>
  <c r="C30" i="9"/>
  <c r="C12" i="9"/>
  <c r="L72" i="9"/>
  <c r="L12" i="9"/>
  <c r="C160" i="9"/>
  <c r="C118" i="9"/>
  <c r="C76" i="9"/>
  <c r="C34" i="9"/>
  <c r="L180" i="9"/>
  <c r="N143" i="9"/>
  <c r="N116" i="9"/>
  <c r="N74" i="9"/>
  <c r="L54" i="9"/>
  <c r="E179" i="9"/>
  <c r="E137" i="9"/>
  <c r="E95" i="9"/>
  <c r="E53" i="9"/>
  <c r="E10" i="9"/>
  <c r="L179" i="9"/>
  <c r="N157" i="9"/>
  <c r="L137" i="9"/>
  <c r="L101" i="9"/>
  <c r="L53" i="9"/>
  <c r="L16" i="9"/>
  <c r="L11" i="9"/>
  <c r="L59" i="9"/>
  <c r="C164" i="9"/>
  <c r="N179" i="9"/>
  <c r="N164" i="9"/>
  <c r="L159" i="9"/>
  <c r="N137" i="9"/>
  <c r="N122" i="9"/>
  <c r="L117" i="9"/>
  <c r="N95" i="9"/>
  <c r="N80" i="9"/>
  <c r="L75" i="9"/>
  <c r="N53" i="9"/>
  <c r="N38" i="9"/>
  <c r="L33" i="9"/>
  <c r="N10" i="9"/>
  <c r="E185" i="9"/>
  <c r="C180" i="9"/>
  <c r="E158" i="9"/>
  <c r="E143" i="9"/>
  <c r="C138" i="9"/>
  <c r="E116" i="9"/>
  <c r="E101" i="9"/>
  <c r="C96" i="9"/>
  <c r="E59" i="9"/>
  <c r="C54" i="9"/>
  <c r="E32" i="9"/>
  <c r="E16" i="9"/>
  <c r="C11" i="9"/>
  <c r="L157" i="9"/>
  <c r="N118" i="9"/>
  <c r="N93" i="9"/>
  <c r="L73" i="9"/>
  <c r="N34" i="9"/>
  <c r="N8" i="9"/>
  <c r="C178" i="9"/>
  <c r="E139" i="9"/>
  <c r="E114" i="9"/>
  <c r="E72" i="9"/>
  <c r="C52" i="9"/>
  <c r="E12" i="9"/>
  <c r="L181" i="9"/>
  <c r="N159" i="9"/>
  <c r="L156" i="9"/>
  <c r="N117" i="9"/>
  <c r="L114" i="9"/>
  <c r="N75" i="9"/>
  <c r="N33" i="9"/>
  <c r="E180" i="9"/>
  <c r="E138" i="9"/>
  <c r="E96" i="9"/>
  <c r="E54" i="9"/>
  <c r="E11" i="9"/>
  <c r="C8" i="9"/>
  <c r="N101" i="9"/>
  <c r="N32" i="9"/>
  <c r="E164" i="9"/>
  <c r="E122" i="9"/>
  <c r="C75" i="9"/>
  <c r="E38" i="9"/>
  <c r="L185" i="9"/>
  <c r="L143" i="9"/>
  <c r="N115" i="9"/>
  <c r="N73" i="9"/>
  <c r="N31" i="9"/>
  <c r="E178" i="9"/>
  <c r="N178" i="9"/>
  <c r="L164" i="9"/>
  <c r="L158" i="9"/>
  <c r="N136" i="9"/>
  <c r="L122" i="9"/>
  <c r="L116" i="9"/>
  <c r="N94" i="9"/>
  <c r="L80" i="9"/>
  <c r="L74" i="9"/>
  <c r="N52" i="9"/>
  <c r="L38" i="9"/>
  <c r="L32" i="9"/>
  <c r="N9" i="9"/>
  <c r="C185" i="9"/>
  <c r="C179" i="9"/>
  <c r="E157" i="9"/>
  <c r="C143" i="9"/>
  <c r="C137" i="9"/>
  <c r="E115" i="9"/>
  <c r="C101" i="9"/>
  <c r="C95" i="9"/>
  <c r="C59" i="9"/>
  <c r="C53" i="9"/>
  <c r="E31" i="9"/>
  <c r="C16" i="9"/>
  <c r="C10" i="9"/>
  <c r="N177" i="9"/>
  <c r="N160" i="9"/>
  <c r="N135" i="9"/>
  <c r="L115" i="9"/>
  <c r="N76" i="9"/>
  <c r="N51" i="9"/>
  <c r="L31" i="9"/>
  <c r="E181" i="9"/>
  <c r="E156" i="9"/>
  <c r="C136" i="9"/>
  <c r="E97" i="9"/>
  <c r="C94" i="9"/>
  <c r="E55" i="9"/>
  <c r="E30" i="9"/>
  <c r="C9" i="9"/>
  <c r="L139" i="9"/>
  <c r="L97" i="9"/>
  <c r="L55" i="9"/>
  <c r="L30" i="9"/>
  <c r="C177" i="9"/>
  <c r="C135" i="9"/>
  <c r="C93" i="9"/>
  <c r="C51" i="9"/>
  <c r="N185" i="9"/>
  <c r="N158" i="9"/>
  <c r="L138" i="9"/>
  <c r="L96" i="9"/>
  <c r="N59" i="9"/>
  <c r="N16" i="9"/>
  <c r="C159" i="9"/>
  <c r="C117" i="9"/>
  <c r="E80" i="9"/>
  <c r="C33" i="9"/>
  <c r="L95" i="9"/>
  <c r="L10" i="9"/>
  <c r="E52" i="9"/>
  <c r="C38" i="9"/>
  <c r="C122" i="9"/>
  <c r="C80" i="9"/>
  <c r="C158" i="9"/>
  <c r="C116" i="9"/>
  <c r="E94" i="9"/>
  <c r="C74" i="9"/>
  <c r="E136" i="9"/>
  <c r="C32" i="9"/>
  <c r="E9" i="9"/>
  <c r="O12" i="15"/>
  <c r="O7" i="14"/>
  <c r="O11" i="15"/>
  <c r="O15" i="13"/>
  <c r="O14" i="14"/>
  <c r="O7" i="24"/>
  <c r="O8" i="14"/>
  <c r="O8" i="13"/>
  <c r="O8" i="24"/>
  <c r="O14" i="15"/>
  <c r="O8" i="15"/>
  <c r="O8" i="25"/>
  <c r="O13" i="13"/>
  <c r="O12" i="14"/>
  <c r="O7" i="13"/>
  <c r="O7" i="15"/>
  <c r="O7" i="25"/>
  <c r="O12" i="13"/>
  <c r="O11" i="14"/>
  <c r="M59" i="12"/>
  <c r="M25" i="12"/>
  <c r="M11" i="12"/>
  <c r="M19" i="12"/>
  <c r="M47" i="10"/>
  <c r="M20" i="10"/>
  <c r="M10" i="10"/>
  <c r="O22" i="11"/>
  <c r="M29" i="12"/>
  <c r="O15" i="11"/>
  <c r="M28" i="12"/>
  <c r="M40" i="10"/>
  <c r="O33" i="11"/>
  <c r="O42" i="11" s="1"/>
  <c r="M13" i="12"/>
  <c r="M33" i="12"/>
  <c r="M39" i="10"/>
  <c r="O32" i="11"/>
  <c r="M42" i="12"/>
  <c r="M62" i="12"/>
  <c r="M48" i="10"/>
  <c r="M58" i="12"/>
  <c r="M21" i="12"/>
  <c r="M10" i="12"/>
  <c r="M48" i="12"/>
  <c r="M17" i="12"/>
  <c r="M46" i="10"/>
  <c r="M31" i="10"/>
  <c r="M19" i="10"/>
  <c r="M9" i="10"/>
  <c r="O20" i="11"/>
  <c r="M15" i="12"/>
  <c r="M50" i="12"/>
  <c r="M50" i="10"/>
  <c r="M44" i="12"/>
  <c r="M26" i="10"/>
  <c r="O12" i="11"/>
  <c r="M26" i="12"/>
  <c r="M11" i="10"/>
  <c r="O26" i="11"/>
  <c r="M57" i="12"/>
  <c r="M35" i="12"/>
  <c r="M18" i="12"/>
  <c r="M9" i="12"/>
  <c r="M43" i="10"/>
  <c r="M30" i="10"/>
  <c r="M18" i="10"/>
  <c r="O19" i="11"/>
  <c r="M51" i="12"/>
  <c r="M43" i="12"/>
  <c r="M41" i="10"/>
  <c r="M14" i="10"/>
  <c r="M13" i="10"/>
  <c r="O13" i="11"/>
  <c r="M49" i="10"/>
  <c r="M12" i="10"/>
  <c r="M60" i="12"/>
  <c r="M34" i="10"/>
  <c r="M70" i="12"/>
  <c r="M49" i="12"/>
  <c r="M34" i="12"/>
  <c r="M16" i="12"/>
  <c r="M4" i="12"/>
  <c r="M45" i="12"/>
  <c r="M53" i="10"/>
  <c r="M29" i="10"/>
  <c r="M17" i="10"/>
  <c r="M7" i="10"/>
  <c r="O18" i="11"/>
  <c r="M69" i="12"/>
  <c r="M3" i="12"/>
  <c r="M51" i="10"/>
  <c r="O36" i="11"/>
  <c r="M63" i="12"/>
  <c r="M14" i="12"/>
  <c r="M41" i="12"/>
  <c r="M27" i="10"/>
  <c r="M12" i="12"/>
  <c r="M20" i="12"/>
  <c r="M22" i="10"/>
  <c r="L28" i="12"/>
  <c r="O14" i="11"/>
  <c r="P14" i="11" s="1"/>
  <c r="O11" i="11"/>
  <c r="L27" i="12"/>
  <c r="O9" i="11"/>
  <c r="O8" i="11"/>
  <c r="O37" i="11"/>
  <c r="L47" i="10"/>
  <c r="L25" i="12"/>
  <c r="L51" i="10"/>
  <c r="L17" i="10"/>
  <c r="L8" i="10"/>
  <c r="L7" i="10"/>
  <c r="H96" i="7"/>
  <c r="H70" i="7"/>
  <c r="I11" i="14"/>
  <c r="H94" i="7"/>
  <c r="H68" i="7"/>
  <c r="H67" i="7"/>
  <c r="N14" i="14"/>
  <c r="I8" i="14"/>
  <c r="J7" i="24"/>
  <c r="E26" i="6" s="1"/>
  <c r="I7" i="25"/>
  <c r="D27" i="6" s="1"/>
  <c r="N7" i="14"/>
  <c r="N8" i="25"/>
  <c r="H72" i="7"/>
  <c r="H120" i="7"/>
  <c r="N12" i="14"/>
  <c r="I7" i="14"/>
  <c r="J8" i="24"/>
  <c r="H84" i="7"/>
  <c r="H118" i="7"/>
  <c r="N11" i="14"/>
  <c r="I8" i="25"/>
  <c r="H82" i="7"/>
  <c r="H116" i="7"/>
  <c r="N14" i="15"/>
  <c r="N8" i="14"/>
  <c r="I8" i="24"/>
  <c r="H80" i="7"/>
  <c r="H115" i="7"/>
  <c r="N12" i="15"/>
  <c r="I7" i="24"/>
  <c r="H79" i="7"/>
  <c r="N11" i="15"/>
  <c r="I14" i="14"/>
  <c r="J20" i="25"/>
  <c r="N7" i="25"/>
  <c r="I12" i="14"/>
  <c r="N8" i="24"/>
  <c r="N7" i="15"/>
  <c r="N8" i="15"/>
  <c r="N7" i="24"/>
  <c r="I12" i="13"/>
  <c r="I7" i="13"/>
  <c r="I13" i="13"/>
  <c r="I8" i="13"/>
  <c r="I15" i="13"/>
  <c r="N15" i="13"/>
  <c r="N12" i="13"/>
  <c r="N8" i="13"/>
  <c r="N7" i="13"/>
  <c r="N13" i="13"/>
  <c r="L70" i="12"/>
  <c r="L57" i="12"/>
  <c r="L44" i="12"/>
  <c r="L33" i="12"/>
  <c r="L16" i="12"/>
  <c r="L4" i="12"/>
  <c r="L69" i="12"/>
  <c r="L43" i="12"/>
  <c r="L29" i="12"/>
  <c r="L15" i="12"/>
  <c r="L3" i="12"/>
  <c r="L63" i="12"/>
  <c r="L51" i="12"/>
  <c r="L42" i="12"/>
  <c r="L26" i="12"/>
  <c r="L14" i="12"/>
  <c r="L40" i="12"/>
  <c r="L12" i="12"/>
  <c r="L39" i="12"/>
  <c r="L11" i="12"/>
  <c r="L46" i="12"/>
  <c r="L10" i="12"/>
  <c r="L34" i="12"/>
  <c r="L62" i="12"/>
  <c r="L50" i="12"/>
  <c r="L41" i="12"/>
  <c r="L21" i="12"/>
  <c r="L13" i="12"/>
  <c r="L48" i="12"/>
  <c r="L19" i="12"/>
  <c r="L35" i="12"/>
  <c r="L58" i="12"/>
  <c r="L17" i="12"/>
  <c r="L61" i="12"/>
  <c r="L49" i="12"/>
  <c r="L20" i="12"/>
  <c r="L60" i="12"/>
  <c r="L59" i="12"/>
  <c r="L18" i="12"/>
  <c r="L45" i="12"/>
  <c r="L9" i="12"/>
  <c r="L42" i="10"/>
  <c r="L29" i="10"/>
  <c r="N19" i="11"/>
  <c r="N8" i="11"/>
  <c r="L28" i="10"/>
  <c r="N18" i="11"/>
  <c r="N15" i="11"/>
  <c r="L39" i="10"/>
  <c r="N33" i="11"/>
  <c r="N42" i="11" s="1"/>
  <c r="L34" i="10"/>
  <c r="L53" i="10"/>
  <c r="L41" i="10"/>
  <c r="L14" i="10"/>
  <c r="N37" i="11"/>
  <c r="L12" i="10"/>
  <c r="L9" i="10"/>
  <c r="N11" i="11"/>
  <c r="L18" i="10"/>
  <c r="L50" i="10"/>
  <c r="L40" i="10"/>
  <c r="L27" i="10"/>
  <c r="L13" i="10"/>
  <c r="N36" i="11"/>
  <c r="L26" i="10"/>
  <c r="L48" i="10"/>
  <c r="L22" i="10"/>
  <c r="L11" i="10"/>
  <c r="N13" i="11"/>
  <c r="L19" i="10"/>
  <c r="N9" i="11"/>
  <c r="L49" i="10"/>
  <c r="N14" i="11"/>
  <c r="N32" i="11"/>
  <c r="L46" i="10"/>
  <c r="N22" i="11"/>
  <c r="L33" i="10"/>
  <c r="L20" i="10"/>
  <c r="L10" i="10"/>
  <c r="N26" i="11"/>
  <c r="N12" i="11"/>
  <c r="L31" i="10"/>
  <c r="L43" i="10"/>
  <c r="L30" i="10"/>
  <c r="N20" i="11"/>
  <c r="H7" i="24"/>
  <c r="C26" i="6" s="1"/>
  <c r="H13" i="13"/>
  <c r="H7" i="13"/>
  <c r="H15" i="13"/>
  <c r="J14" i="15"/>
  <c r="J12" i="15"/>
  <c r="J8" i="15"/>
  <c r="H12" i="15"/>
  <c r="H11" i="15"/>
  <c r="M7" i="14"/>
  <c r="H8" i="15"/>
  <c r="H14" i="14"/>
  <c r="H7" i="15"/>
  <c r="H12" i="14"/>
  <c r="H7" i="14"/>
  <c r="M7" i="24"/>
  <c r="C31" i="6" s="1"/>
  <c r="M12" i="14"/>
  <c r="M8" i="24"/>
  <c r="H60" i="7"/>
  <c r="M14" i="15"/>
  <c r="H8" i="14"/>
  <c r="M8" i="25"/>
  <c r="M11" i="15"/>
  <c r="H8" i="25"/>
  <c r="H20" i="25" s="1"/>
  <c r="M8" i="14"/>
  <c r="H58" i="7"/>
  <c r="M12" i="15"/>
  <c r="M14" i="14"/>
  <c r="M7" i="25"/>
  <c r="C32" i="6" s="1"/>
  <c r="H56" i="7"/>
  <c r="M7" i="15"/>
  <c r="H11" i="14"/>
  <c r="H55" i="7"/>
  <c r="M8" i="15"/>
  <c r="M11" i="14"/>
  <c r="H7" i="25"/>
  <c r="C27" i="6" s="1"/>
  <c r="H14" i="15"/>
  <c r="H8" i="24"/>
  <c r="M8" i="13"/>
  <c r="M7" i="13"/>
  <c r="H12" i="13"/>
  <c r="M27" i="11"/>
  <c r="H8" i="13"/>
  <c r="M15" i="13"/>
  <c r="M12" i="13"/>
  <c r="M13" i="13"/>
  <c r="K39" i="12"/>
  <c r="K29" i="12"/>
  <c r="K27" i="12"/>
  <c r="K15" i="12"/>
  <c r="M22" i="11"/>
  <c r="K18" i="10"/>
  <c r="K7" i="10"/>
  <c r="M15" i="11"/>
  <c r="C39" i="6"/>
  <c r="H108" i="7"/>
  <c r="H106" i="7"/>
  <c r="C38" i="6"/>
  <c r="H104" i="7"/>
  <c r="H103" i="7"/>
  <c r="K61" i="12"/>
  <c r="K48" i="12"/>
  <c r="K28" i="12"/>
  <c r="K18" i="12"/>
  <c r="K3" i="12"/>
  <c r="M12" i="11"/>
  <c r="K49" i="10"/>
  <c r="K39" i="10"/>
  <c r="K20" i="10"/>
  <c r="K9" i="10"/>
  <c r="K9" i="12"/>
  <c r="K63" i="12"/>
  <c r="K40" i="10"/>
  <c r="K60" i="12"/>
  <c r="K47" i="12"/>
  <c r="K30" i="12"/>
  <c r="K16" i="12"/>
  <c r="M36" i="11"/>
  <c r="M13" i="11"/>
  <c r="K48" i="10"/>
  <c r="K34" i="10"/>
  <c r="K19" i="10"/>
  <c r="K8" i="10"/>
  <c r="K17" i="12"/>
  <c r="K31" i="10"/>
  <c r="K41" i="10"/>
  <c r="K26" i="10"/>
  <c r="K14" i="12"/>
  <c r="K41" i="12"/>
  <c r="K59" i="12"/>
  <c r="K46" i="12"/>
  <c r="K26" i="12"/>
  <c r="K13" i="12"/>
  <c r="M33" i="11"/>
  <c r="M11" i="11"/>
  <c r="K47" i="10"/>
  <c r="K30" i="10"/>
  <c r="K17" i="10"/>
  <c r="K19" i="12"/>
  <c r="K11" i="10"/>
  <c r="K4" i="12"/>
  <c r="K10" i="10"/>
  <c r="K58" i="12"/>
  <c r="K44" i="12"/>
  <c r="K25" i="12"/>
  <c r="K12" i="12"/>
  <c r="M32" i="11"/>
  <c r="M9" i="11"/>
  <c r="K46" i="10"/>
  <c r="K28" i="10"/>
  <c r="K14" i="10"/>
  <c r="K62" i="12"/>
  <c r="K35" i="12"/>
  <c r="M19" i="11"/>
  <c r="K49" i="12"/>
  <c r="K50" i="10"/>
  <c r="K57" i="12"/>
  <c r="K42" i="12"/>
  <c r="K21" i="12"/>
  <c r="K11" i="12"/>
  <c r="M26" i="11"/>
  <c r="M8" i="11"/>
  <c r="K43" i="10"/>
  <c r="K29" i="10"/>
  <c r="K13" i="10"/>
  <c r="K52" i="12"/>
  <c r="K50" i="12"/>
  <c r="K51" i="10"/>
  <c r="K34" i="12"/>
  <c r="K22" i="10"/>
  <c r="K69" i="12"/>
  <c r="K51" i="12"/>
  <c r="K40" i="12"/>
  <c r="K20" i="12"/>
  <c r="K10" i="12"/>
  <c r="M20" i="11"/>
  <c r="K53" i="10"/>
  <c r="K42" i="10"/>
  <c r="K27" i="10"/>
  <c r="K12" i="10"/>
  <c r="K45" i="12"/>
  <c r="K70" i="12"/>
  <c r="K43" i="12"/>
  <c r="M18" i="11"/>
  <c r="M37" i="11"/>
  <c r="E11" i="14"/>
  <c r="J22" i="10"/>
  <c r="I22" i="10"/>
  <c r="J51" i="10"/>
  <c r="J43" i="10"/>
  <c r="J9" i="10"/>
  <c r="J19" i="10"/>
  <c r="J20" i="10"/>
  <c r="E12" i="15"/>
  <c r="E11" i="15"/>
  <c r="E14" i="15"/>
  <c r="E14" i="14"/>
  <c r="E12" i="14"/>
  <c r="K13" i="13"/>
  <c r="F26" i="6"/>
  <c r="H47" i="7"/>
  <c r="F27" i="6"/>
  <c r="H91" i="7"/>
  <c r="H49" i="7"/>
  <c r="H92" i="7"/>
  <c r="H45" i="7"/>
  <c r="H44" i="7"/>
  <c r="F11" i="15"/>
  <c r="K8" i="15"/>
  <c r="F8" i="15"/>
  <c r="K14" i="15"/>
  <c r="K7" i="15"/>
  <c r="J7" i="15"/>
  <c r="K11" i="15"/>
  <c r="K12" i="15"/>
  <c r="F12" i="15"/>
  <c r="F14" i="15"/>
  <c r="J11" i="15"/>
  <c r="F12" i="14"/>
  <c r="K8" i="14"/>
  <c r="F8" i="25"/>
  <c r="F20" i="25" s="1"/>
  <c r="F7" i="25"/>
  <c r="F11" i="14"/>
  <c r="E8" i="25"/>
  <c r="E20" i="25" s="1"/>
  <c r="E7" i="25"/>
  <c r="C7" i="25"/>
  <c r="K14" i="14"/>
  <c r="K7" i="14"/>
  <c r="D8" i="25"/>
  <c r="D20" i="25" s="1"/>
  <c r="D7" i="25"/>
  <c r="C8" i="25"/>
  <c r="C20" i="25" s="1"/>
  <c r="K12" i="14"/>
  <c r="K8" i="25"/>
  <c r="K7" i="25"/>
  <c r="F14" i="14"/>
  <c r="K11" i="14"/>
  <c r="K8" i="24"/>
  <c r="K20" i="24" s="1"/>
  <c r="F13" i="13"/>
  <c r="K15" i="13"/>
  <c r="J70" i="12"/>
  <c r="J61" i="12"/>
  <c r="J57" i="12"/>
  <c r="J49" i="12"/>
  <c r="J45" i="12"/>
  <c r="J41" i="12"/>
  <c r="J34" i="12"/>
  <c r="J26" i="12"/>
  <c r="J18" i="12"/>
  <c r="J14" i="12"/>
  <c r="J10" i="12"/>
  <c r="E13" i="13"/>
  <c r="I70" i="12"/>
  <c r="I61" i="12"/>
  <c r="I57" i="12"/>
  <c r="I49" i="12"/>
  <c r="I45" i="12"/>
  <c r="I41" i="12"/>
  <c r="I34" i="12"/>
  <c r="I26" i="12"/>
  <c r="I18" i="12"/>
  <c r="I14" i="12"/>
  <c r="I10" i="12"/>
  <c r="I25" i="12"/>
  <c r="I9" i="12"/>
  <c r="D7" i="24"/>
  <c r="J59" i="12"/>
  <c r="J47" i="12"/>
  <c r="J39" i="12"/>
  <c r="J20" i="12"/>
  <c r="J12" i="12"/>
  <c r="I58" i="12"/>
  <c r="I35" i="12"/>
  <c r="I15" i="12"/>
  <c r="F12" i="13"/>
  <c r="K12" i="13"/>
  <c r="J69" i="12"/>
  <c r="J60" i="12"/>
  <c r="J52" i="12"/>
  <c r="J48" i="12"/>
  <c r="J44" i="12"/>
  <c r="J40" i="12"/>
  <c r="J30" i="12"/>
  <c r="J25" i="12"/>
  <c r="J17" i="12"/>
  <c r="J13" i="12"/>
  <c r="J9" i="12"/>
  <c r="E7" i="24"/>
  <c r="E12" i="13"/>
  <c r="I69" i="12"/>
  <c r="I60" i="12"/>
  <c r="I52" i="12"/>
  <c r="I48" i="12"/>
  <c r="I44" i="12"/>
  <c r="I40" i="12"/>
  <c r="I30" i="12"/>
  <c r="I17" i="12"/>
  <c r="I13" i="12"/>
  <c r="E8" i="24"/>
  <c r="F8" i="13"/>
  <c r="K8" i="13"/>
  <c r="J63" i="12"/>
  <c r="J51" i="12"/>
  <c r="J43" i="12"/>
  <c r="J28" i="12"/>
  <c r="J16" i="12"/>
  <c r="J4" i="12"/>
  <c r="I50" i="12"/>
  <c r="I42" i="12"/>
  <c r="I19" i="12"/>
  <c r="I3" i="12"/>
  <c r="D8" i="24"/>
  <c r="C7" i="24"/>
  <c r="E8" i="13"/>
  <c r="I63" i="12"/>
  <c r="I59" i="12"/>
  <c r="I51" i="12"/>
  <c r="I47" i="12"/>
  <c r="I43" i="12"/>
  <c r="I39" i="12"/>
  <c r="I28" i="12"/>
  <c r="I20" i="12"/>
  <c r="I16" i="12"/>
  <c r="I12" i="12"/>
  <c r="I4" i="12"/>
  <c r="F8" i="24"/>
  <c r="C8" i="24"/>
  <c r="F15" i="13"/>
  <c r="F7" i="13"/>
  <c r="K7" i="13"/>
  <c r="C91" i="7" s="1"/>
  <c r="J62" i="12"/>
  <c r="J58" i="12"/>
  <c r="J50" i="12"/>
  <c r="J46" i="12"/>
  <c r="J42" i="12"/>
  <c r="J35" i="12"/>
  <c r="J27" i="12"/>
  <c r="J19" i="12"/>
  <c r="J15" i="12"/>
  <c r="J11" i="12"/>
  <c r="J3" i="12"/>
  <c r="F7" i="24"/>
  <c r="K7" i="24"/>
  <c r="E15" i="13"/>
  <c r="E7" i="13"/>
  <c r="I62" i="12"/>
  <c r="I46" i="12"/>
  <c r="I27" i="12"/>
  <c r="I11" i="12"/>
  <c r="J49" i="10"/>
  <c r="J39" i="10"/>
  <c r="J27" i="10"/>
  <c r="J17" i="10"/>
  <c r="J12" i="10"/>
  <c r="J10" i="10"/>
  <c r="L12" i="11"/>
  <c r="I49" i="10"/>
  <c r="I43" i="10"/>
  <c r="I39" i="10"/>
  <c r="J26" i="10"/>
  <c r="J18" i="10"/>
  <c r="J13" i="10"/>
  <c r="I10" i="10"/>
  <c r="J53" i="10"/>
  <c r="J48" i="10"/>
  <c r="J42" i="10"/>
  <c r="J34" i="10"/>
  <c r="I31" i="10"/>
  <c r="J14" i="10"/>
  <c r="J50" i="10"/>
  <c r="J40" i="10"/>
  <c r="I27" i="10"/>
  <c r="I11" i="10"/>
  <c r="I50" i="10"/>
  <c r="I40" i="10"/>
  <c r="I26" i="10"/>
  <c r="J11" i="10"/>
  <c r="I53" i="10"/>
  <c r="I48" i="10"/>
  <c r="I42" i="10"/>
  <c r="I34" i="10"/>
  <c r="I30" i="10"/>
  <c r="I14" i="10"/>
  <c r="I9" i="10"/>
  <c r="J47" i="10"/>
  <c r="J41" i="10"/>
  <c r="J31" i="10"/>
  <c r="I29" i="10"/>
  <c r="I20" i="10"/>
  <c r="I13" i="10"/>
  <c r="J8" i="10"/>
  <c r="I51" i="10"/>
  <c r="I47" i="10"/>
  <c r="I41" i="10"/>
  <c r="J30" i="10"/>
  <c r="I28" i="10"/>
  <c r="I19" i="10"/>
  <c r="I12" i="10"/>
  <c r="I8" i="10"/>
  <c r="J46" i="10"/>
  <c r="J29" i="10"/>
  <c r="I18" i="10"/>
  <c r="J7" i="10"/>
  <c r="I46" i="10"/>
  <c r="J28" i="10"/>
  <c r="I17" i="10"/>
  <c r="I7" i="10"/>
  <c r="L37" i="11"/>
  <c r="L19" i="11"/>
  <c r="J33" i="11"/>
  <c r="J15" i="11"/>
  <c r="J8" i="11"/>
  <c r="J18" i="11"/>
  <c r="L8" i="11"/>
  <c r="L36" i="11"/>
  <c r="L18" i="11"/>
  <c r="J32" i="11"/>
  <c r="J13" i="11"/>
  <c r="J22" i="11"/>
  <c r="L33" i="11"/>
  <c r="L15" i="11"/>
  <c r="J27" i="11"/>
  <c r="P27" i="11" s="1"/>
  <c r="Q27" i="11" s="1"/>
  <c r="J12" i="11"/>
  <c r="J11" i="11"/>
  <c r="L32" i="11"/>
  <c r="L14" i="11"/>
  <c r="J26" i="11"/>
  <c r="L11" i="11"/>
  <c r="L27" i="11"/>
  <c r="L13" i="11"/>
  <c r="L26" i="11"/>
  <c r="J20" i="11"/>
  <c r="L9" i="11"/>
  <c r="L20" i="11"/>
  <c r="L22" i="11"/>
  <c r="J37" i="11"/>
  <c r="J19" i="11"/>
  <c r="J9" i="11"/>
  <c r="J36" i="11"/>
  <c r="C12" i="13"/>
  <c r="C15" i="13"/>
  <c r="D12" i="13"/>
  <c r="C13" i="13"/>
  <c r="D15" i="13"/>
  <c r="D13" i="13"/>
  <c r="A1" i="25"/>
  <c r="A1" i="24"/>
  <c r="H34" i="7"/>
  <c r="H38" i="7"/>
  <c r="H36" i="7"/>
  <c r="H33" i="7"/>
  <c r="E22" i="6"/>
  <c r="E21" i="6"/>
  <c r="F28" i="10"/>
  <c r="H61" i="12"/>
  <c r="H57" i="12"/>
  <c r="H47" i="12"/>
  <c r="H40" i="12"/>
  <c r="H28" i="12"/>
  <c r="H19" i="12"/>
  <c r="H14" i="12"/>
  <c r="H10" i="12"/>
  <c r="G70" i="12"/>
  <c r="G59" i="12"/>
  <c r="G49" i="12"/>
  <c r="G42" i="12"/>
  <c r="G35" i="12"/>
  <c r="G19" i="12"/>
  <c r="G13" i="12"/>
  <c r="H20" i="10"/>
  <c r="G53" i="10"/>
  <c r="G47" i="10"/>
  <c r="G42" i="10"/>
  <c r="G34" i="10"/>
  <c r="G28" i="10"/>
  <c r="G20" i="10"/>
  <c r="G14" i="10"/>
  <c r="G10" i="10"/>
  <c r="I36" i="11"/>
  <c r="G46" i="10"/>
  <c r="G30" i="10"/>
  <c r="G12" i="10"/>
  <c r="H69" i="12"/>
  <c r="H42" i="12"/>
  <c r="H15" i="12"/>
  <c r="G34" i="12"/>
  <c r="G4" i="12"/>
  <c r="G39" i="10"/>
  <c r="G22" i="10"/>
  <c r="G11" i="10"/>
  <c r="F31" i="10"/>
  <c r="F27" i="10"/>
  <c r="H60" i="12"/>
  <c r="H51" i="12"/>
  <c r="H44" i="12"/>
  <c r="H39" i="12"/>
  <c r="H27" i="12"/>
  <c r="H18" i="12"/>
  <c r="H13" i="12"/>
  <c r="H9" i="12"/>
  <c r="G69" i="12"/>
  <c r="G58" i="12"/>
  <c r="G51" i="12"/>
  <c r="G40" i="12"/>
  <c r="G28" i="12"/>
  <c r="G16" i="12"/>
  <c r="G12" i="12"/>
  <c r="G10" i="12"/>
  <c r="G51" i="10"/>
  <c r="G48" i="10"/>
  <c r="G41" i="10"/>
  <c r="G31" i="10"/>
  <c r="G27" i="10"/>
  <c r="G19" i="10"/>
  <c r="G13" i="10"/>
  <c r="G9" i="10"/>
  <c r="G15" i="12"/>
  <c r="G50" i="10"/>
  <c r="G40" i="10"/>
  <c r="G18" i="10"/>
  <c r="G8" i="10"/>
  <c r="H58" i="12"/>
  <c r="H49" i="12"/>
  <c r="H25" i="12"/>
  <c r="H11" i="12"/>
  <c r="G60" i="12"/>
  <c r="G50" i="12"/>
  <c r="G25" i="12"/>
  <c r="G11" i="12"/>
  <c r="G49" i="10"/>
  <c r="G29" i="10"/>
  <c r="G17" i="10"/>
  <c r="G7" i="10"/>
  <c r="F30" i="10"/>
  <c r="H70" i="12"/>
  <c r="H59" i="12"/>
  <c r="H50" i="12"/>
  <c r="H43" i="12"/>
  <c r="H35" i="12"/>
  <c r="H26" i="12"/>
  <c r="H16" i="12"/>
  <c r="H12" i="12"/>
  <c r="H4" i="12"/>
  <c r="G61" i="12"/>
  <c r="G57" i="12"/>
  <c r="G44" i="12"/>
  <c r="G39" i="12"/>
  <c r="G27" i="12"/>
  <c r="G18" i="12"/>
  <c r="G9" i="12"/>
  <c r="G26" i="10"/>
  <c r="F29" i="10"/>
  <c r="H34" i="12"/>
  <c r="H3" i="12"/>
  <c r="G43" i="12"/>
  <c r="G14" i="12"/>
  <c r="G43" i="10"/>
  <c r="D12" i="11"/>
  <c r="D13" i="11"/>
  <c r="C22" i="6"/>
  <c r="C17" i="6"/>
  <c r="C12" i="6"/>
  <c r="C7" i="6"/>
  <c r="M49" i="7"/>
  <c r="M45" i="7"/>
  <c r="M38" i="7"/>
  <c r="M34" i="7"/>
  <c r="N25" i="7"/>
  <c r="N21" i="7"/>
  <c r="H23" i="7"/>
  <c r="M10" i="7"/>
  <c r="M7" i="7"/>
  <c r="D12" i="15"/>
  <c r="I8" i="15"/>
  <c r="F7" i="15"/>
  <c r="F7" i="14"/>
  <c r="D70" i="12"/>
  <c r="H63" i="12"/>
  <c r="E62" i="12"/>
  <c r="C61" i="12"/>
  <c r="E58" i="12"/>
  <c r="C57" i="12"/>
  <c r="E50" i="12"/>
  <c r="C49" i="12"/>
  <c r="G47" i="12"/>
  <c r="F21" i="6"/>
  <c r="F16" i="6"/>
  <c r="F11" i="6"/>
  <c r="F6" i="6"/>
  <c r="L49" i="7"/>
  <c r="L45" i="7"/>
  <c r="L38" i="7"/>
  <c r="L34" i="7"/>
  <c r="O25" i="7"/>
  <c r="O21" i="7"/>
  <c r="H25" i="7"/>
  <c r="L10" i="7"/>
  <c r="L7" i="7"/>
  <c r="C12" i="15"/>
  <c r="E7" i="15"/>
  <c r="E7" i="14"/>
  <c r="D7" i="13"/>
  <c r="C70" i="12"/>
  <c r="G63" i="12"/>
  <c r="D62" i="12"/>
  <c r="F59" i="12"/>
  <c r="D58" i="12"/>
  <c r="H52" i="12"/>
  <c r="F51" i="12"/>
  <c r="D50" i="12"/>
  <c r="H48" i="12"/>
  <c r="F47" i="12"/>
  <c r="D45" i="12"/>
  <c r="F42" i="12"/>
  <c r="D41" i="12"/>
  <c r="E16" i="6"/>
  <c r="E11" i="6"/>
  <c r="E6" i="6"/>
  <c r="O47" i="7"/>
  <c r="O44" i="7"/>
  <c r="O36" i="7"/>
  <c r="O33" i="7"/>
  <c r="O23" i="7"/>
  <c r="O20" i="7"/>
  <c r="L12" i="7"/>
  <c r="L8" i="7"/>
  <c r="H12" i="7"/>
  <c r="D14" i="15"/>
  <c r="I11" i="15"/>
  <c r="D7" i="15"/>
  <c r="D14" i="14"/>
  <c r="F8" i="14"/>
  <c r="D7" i="14"/>
  <c r="C7" i="13"/>
  <c r="E63" i="12"/>
  <c r="F63" i="12" s="1"/>
  <c r="C62" i="12"/>
  <c r="E59" i="12"/>
  <c r="C58" i="12"/>
  <c r="G52" i="12"/>
  <c r="E51" i="12"/>
  <c r="C50" i="12"/>
  <c r="G48" i="12"/>
  <c r="E47" i="12"/>
  <c r="C45" i="12"/>
  <c r="E42" i="12"/>
  <c r="C41" i="12"/>
  <c r="D21" i="6"/>
  <c r="D16" i="6"/>
  <c r="D11" i="6"/>
  <c r="D6" i="6"/>
  <c r="N47" i="7"/>
  <c r="N44" i="7"/>
  <c r="N36" i="7"/>
  <c r="N33" i="7"/>
  <c r="N23" i="7"/>
  <c r="N20" i="7"/>
  <c r="M12" i="7"/>
  <c r="M8" i="7"/>
  <c r="H10" i="7"/>
  <c r="C14" i="15"/>
  <c r="E8" i="15"/>
  <c r="C7" i="15"/>
  <c r="C14" i="14"/>
  <c r="E8" i="14"/>
  <c r="C7" i="14"/>
  <c r="D8" i="13"/>
  <c r="A1" i="13"/>
  <c r="D63" i="12"/>
  <c r="F60" i="12"/>
  <c r="D59" i="12"/>
  <c r="F52" i="12"/>
  <c r="D51" i="12"/>
  <c r="F48" i="12"/>
  <c r="D47" i="12"/>
  <c r="F43" i="12"/>
  <c r="D42" i="12"/>
  <c r="F39" i="12"/>
  <c r="C21" i="6"/>
  <c r="C16" i="6"/>
  <c r="C11" i="6"/>
  <c r="C6" i="6"/>
  <c r="M47" i="7"/>
  <c r="M44" i="7"/>
  <c r="M36" i="7"/>
  <c r="M33" i="7"/>
  <c r="M23" i="7"/>
  <c r="M20" i="7"/>
  <c r="N12" i="7"/>
  <c r="N8" i="7"/>
  <c r="H8" i="7"/>
  <c r="I12" i="15"/>
  <c r="D8" i="15"/>
  <c r="A1" i="15"/>
  <c r="C12" i="14"/>
  <c r="D8" i="14"/>
  <c r="A2" i="14"/>
  <c r="C8" i="13"/>
  <c r="F69" i="12"/>
  <c r="C63" i="12"/>
  <c r="E60" i="12"/>
  <c r="C59" i="12"/>
  <c r="E52" i="12"/>
  <c r="C51" i="12"/>
  <c r="E48" i="12"/>
  <c r="C47" i="12"/>
  <c r="E43" i="12"/>
  <c r="C42" i="12"/>
  <c r="E39" i="12"/>
  <c r="F22" i="6"/>
  <c r="F17" i="6"/>
  <c r="F12" i="6"/>
  <c r="F7" i="6"/>
  <c r="A1" i="6"/>
  <c r="L47" i="7"/>
  <c r="L44" i="7"/>
  <c r="L36" i="7"/>
  <c r="L33" i="7"/>
  <c r="L23" i="7"/>
  <c r="L20" i="7"/>
  <c r="O12" i="7"/>
  <c r="O8" i="7"/>
  <c r="H7" i="7"/>
  <c r="A1" i="9"/>
  <c r="D22" i="6"/>
  <c r="D17" i="6"/>
  <c r="D12" i="6"/>
  <c r="D7" i="6"/>
  <c r="N49" i="7"/>
  <c r="N45" i="7"/>
  <c r="N38" i="7"/>
  <c r="N34" i="7"/>
  <c r="M25" i="7"/>
  <c r="M21" i="7"/>
  <c r="H21" i="7"/>
  <c r="N10" i="7"/>
  <c r="N7" i="7"/>
  <c r="O38" i="7"/>
  <c r="F62" i="12"/>
  <c r="C44" i="12"/>
  <c r="E41" i="12"/>
  <c r="E34" i="12"/>
  <c r="C30" i="12"/>
  <c r="E26" i="12"/>
  <c r="C25" i="12"/>
  <c r="E18" i="12"/>
  <c r="C17" i="12"/>
  <c r="E14" i="12"/>
  <c r="C13" i="12"/>
  <c r="E10" i="12"/>
  <c r="C9" i="12"/>
  <c r="G3" i="12"/>
  <c r="C53" i="10"/>
  <c r="E49" i="10"/>
  <c r="C48" i="10"/>
  <c r="E43" i="10"/>
  <c r="C42" i="10"/>
  <c r="E39" i="10"/>
  <c r="C34" i="10"/>
  <c r="E29" i="10"/>
  <c r="H27" i="10"/>
  <c r="F26" i="10"/>
  <c r="D20" i="10"/>
  <c r="H18" i="10"/>
  <c r="F17" i="10"/>
  <c r="D14" i="10"/>
  <c r="H12" i="10"/>
  <c r="F11" i="10"/>
  <c r="D10" i="10"/>
  <c r="H8" i="10"/>
  <c r="F7" i="10"/>
  <c r="H36" i="11"/>
  <c r="C36" i="11"/>
  <c r="E32" i="11"/>
  <c r="H26" i="11"/>
  <c r="C26" i="11"/>
  <c r="I19" i="11"/>
  <c r="D19" i="11"/>
  <c r="D18" i="11"/>
  <c r="G14" i="11"/>
  <c r="H11" i="11"/>
  <c r="E13" i="11"/>
  <c r="I9" i="11"/>
  <c r="G8" i="11"/>
  <c r="F75" i="12" s="1"/>
  <c r="E11" i="10"/>
  <c r="C10" i="10"/>
  <c r="E7" i="10"/>
  <c r="G37" i="11"/>
  <c r="I33" i="11"/>
  <c r="D33" i="11"/>
  <c r="G27" i="11"/>
  <c r="I22" i="11"/>
  <c r="E17" i="6"/>
  <c r="O34" i="7"/>
  <c r="D11" i="15"/>
  <c r="D12" i="14"/>
  <c r="F70" i="12"/>
  <c r="F61" i="12"/>
  <c r="F58" i="12"/>
  <c r="H45" i="12"/>
  <c r="D43" i="12"/>
  <c r="F40" i="12"/>
  <c r="F35" i="12"/>
  <c r="D34" i="12"/>
  <c r="F27" i="12"/>
  <c r="D26" i="12"/>
  <c r="H20" i="12"/>
  <c r="F19" i="12"/>
  <c r="D18" i="12"/>
  <c r="F15" i="12"/>
  <c r="D14" i="12"/>
  <c r="F11" i="12"/>
  <c r="D10" i="12"/>
  <c r="F3" i="12"/>
  <c r="F22" i="10"/>
  <c r="H51" i="10"/>
  <c r="F50" i="10"/>
  <c r="D49" i="10"/>
  <c r="H47" i="10"/>
  <c r="F46" i="10"/>
  <c r="D43" i="10"/>
  <c r="H41" i="10"/>
  <c r="F40" i="10"/>
  <c r="D39" i="10"/>
  <c r="H31" i="10"/>
  <c r="C29" i="10"/>
  <c r="E26" i="10"/>
  <c r="C20" i="10"/>
  <c r="E17" i="10"/>
  <c r="C14" i="10"/>
  <c r="E12" i="6"/>
  <c r="L25" i="7"/>
  <c r="C11" i="15"/>
  <c r="E70" i="12"/>
  <c r="E61" i="12"/>
  <c r="F57" i="12"/>
  <c r="F50" i="12"/>
  <c r="G45" i="12"/>
  <c r="C43" i="12"/>
  <c r="E40" i="12"/>
  <c r="E35" i="12"/>
  <c r="C34" i="12"/>
  <c r="E27" i="12"/>
  <c r="C26" i="12"/>
  <c r="G20" i="12"/>
  <c r="E19" i="12"/>
  <c r="C18" i="12"/>
  <c r="E15" i="12"/>
  <c r="C14" i="12"/>
  <c r="E11" i="12"/>
  <c r="C10" i="12"/>
  <c r="E3" i="12"/>
  <c r="E22" i="10"/>
  <c r="E50" i="10"/>
  <c r="C49" i="10"/>
  <c r="E46" i="10"/>
  <c r="C43" i="10"/>
  <c r="E40" i="10"/>
  <c r="C39" i="10"/>
  <c r="E30" i="10"/>
  <c r="H28" i="10"/>
  <c r="D26" i="10"/>
  <c r="H19" i="10"/>
  <c r="F18" i="10"/>
  <c r="D17" i="10"/>
  <c r="H13" i="10"/>
  <c r="F12" i="10"/>
  <c r="D11" i="10"/>
  <c r="H9" i="10"/>
  <c r="F8" i="10"/>
  <c r="D7" i="10"/>
  <c r="G36" i="11"/>
  <c r="I32" i="11"/>
  <c r="D32" i="11"/>
  <c r="G26" i="11"/>
  <c r="H22" i="11"/>
  <c r="H20" i="11"/>
  <c r="C20" i="11"/>
  <c r="C11" i="11"/>
  <c r="H13" i="11"/>
  <c r="E15" i="11"/>
  <c r="C13" i="11"/>
  <c r="G9" i="11"/>
  <c r="D8" i="11"/>
  <c r="F42" i="10"/>
  <c r="D31" i="10"/>
  <c r="C18" i="10"/>
  <c r="E7" i="6"/>
  <c r="L21" i="7"/>
  <c r="C8" i="15"/>
  <c r="E69" i="12"/>
  <c r="D61" i="12"/>
  <c r="E57" i="12"/>
  <c r="F49" i="12"/>
  <c r="F45" i="12"/>
  <c r="D40" i="12"/>
  <c r="D35" i="12"/>
  <c r="H30" i="12"/>
  <c r="F28" i="12"/>
  <c r="D27" i="12"/>
  <c r="F20" i="12"/>
  <c r="D19" i="12"/>
  <c r="H17" i="12"/>
  <c r="F16" i="12"/>
  <c r="D15" i="12"/>
  <c r="F12" i="12"/>
  <c r="D11" i="12"/>
  <c r="F4" i="12"/>
  <c r="D3" i="12"/>
  <c r="D22" i="10"/>
  <c r="H53" i="10"/>
  <c r="F51" i="10"/>
  <c r="D50" i="10"/>
  <c r="H48" i="10"/>
  <c r="F47" i="10"/>
  <c r="D46" i="10"/>
  <c r="H42" i="10"/>
  <c r="F41" i="10"/>
  <c r="D40" i="10"/>
  <c r="H34" i="10"/>
  <c r="D30" i="10"/>
  <c r="E27" i="10"/>
  <c r="C26" i="10"/>
  <c r="E18" i="10"/>
  <c r="C17" i="10"/>
  <c r="E12" i="10"/>
  <c r="C11" i="10"/>
  <c r="E8" i="10"/>
  <c r="C7" i="10"/>
  <c r="E37" i="11"/>
  <c r="H33" i="11"/>
  <c r="C33" i="11"/>
  <c r="E27" i="11"/>
  <c r="G22" i="11"/>
  <c r="H19" i="11"/>
  <c r="C19" i="11"/>
  <c r="I15" i="11"/>
  <c r="G13" i="11"/>
  <c r="D15" i="11"/>
  <c r="E12" i="11"/>
  <c r="E9" i="11"/>
  <c r="C8" i="11"/>
  <c r="H39" i="10"/>
  <c r="H29" i="10"/>
  <c r="C27" i="10"/>
  <c r="H20" i="7"/>
  <c r="I14" i="15"/>
  <c r="I7" i="15"/>
  <c r="D69" i="12"/>
  <c r="D60" i="12"/>
  <c r="D57" i="12"/>
  <c r="E49" i="12"/>
  <c r="E45" i="12"/>
  <c r="C40" i="12"/>
  <c r="C35" i="12"/>
  <c r="G30" i="12"/>
  <c r="E28" i="12"/>
  <c r="C27" i="12"/>
  <c r="E20" i="12"/>
  <c r="C19" i="12"/>
  <c r="G17" i="12"/>
  <c r="E16" i="12"/>
  <c r="C15" i="12"/>
  <c r="E12" i="12"/>
  <c r="C11" i="12"/>
  <c r="E4" i="12"/>
  <c r="C3" i="12"/>
  <c r="C22" i="10"/>
  <c r="E51" i="10"/>
  <c r="C50" i="10"/>
  <c r="E47" i="10"/>
  <c r="C46" i="10"/>
  <c r="E41" i="10"/>
  <c r="C40" i="10"/>
  <c r="E31" i="10"/>
  <c r="C30" i="10"/>
  <c r="D27" i="10"/>
  <c r="F19" i="10"/>
  <c r="D18" i="10"/>
  <c r="H14" i="10"/>
  <c r="F13" i="10"/>
  <c r="D12" i="10"/>
  <c r="H10" i="10"/>
  <c r="F9" i="10"/>
  <c r="D8" i="10"/>
  <c r="A1" i="10"/>
  <c r="E36" i="11"/>
  <c r="H32" i="11"/>
  <c r="C32" i="11"/>
  <c r="E26" i="11"/>
  <c r="E22" i="11"/>
  <c r="G20" i="11"/>
  <c r="I18" i="11"/>
  <c r="H15" i="11"/>
  <c r="I12" i="11"/>
  <c r="C15" i="11"/>
  <c r="D9" i="11"/>
  <c r="A1" i="11"/>
  <c r="D41" i="10"/>
  <c r="F34" i="10"/>
  <c r="E28" i="10"/>
  <c r="E19" i="10"/>
  <c r="O10" i="7"/>
  <c r="D11" i="14"/>
  <c r="C69" i="12"/>
  <c r="C60" i="12"/>
  <c r="D52" i="12"/>
  <c r="D49" i="12"/>
  <c r="F44" i="12"/>
  <c r="H41" i="12"/>
  <c r="D39" i="12"/>
  <c r="F30" i="12"/>
  <c r="D28" i="12"/>
  <c r="F25" i="12"/>
  <c r="D20" i="12"/>
  <c r="F17" i="12"/>
  <c r="D16" i="12"/>
  <c r="F13" i="12"/>
  <c r="D12" i="12"/>
  <c r="F9" i="12"/>
  <c r="D4" i="12"/>
  <c r="A1" i="12"/>
  <c r="F53" i="10"/>
  <c r="D51" i="10"/>
  <c r="H49" i="10"/>
  <c r="F48" i="10"/>
  <c r="D47" i="10"/>
  <c r="O45" i="7"/>
  <c r="A1" i="7"/>
  <c r="C8" i="14"/>
  <c r="C12" i="11"/>
  <c r="H12" i="11"/>
  <c r="H18" i="11"/>
  <c r="D22" i="11"/>
  <c r="G32" i="11"/>
  <c r="F14" i="10"/>
  <c r="H26" i="10"/>
  <c r="E34" i="10"/>
  <c r="H50" i="10"/>
  <c r="D13" i="12"/>
  <c r="F18" i="12"/>
  <c r="F41" i="12"/>
  <c r="C27" i="11"/>
  <c r="C28" i="10"/>
  <c r="C4" i="12"/>
  <c r="H8" i="11"/>
  <c r="D26" i="11"/>
  <c r="H17" i="10"/>
  <c r="H46" i="10"/>
  <c r="D9" i="12"/>
  <c r="F14" i="12"/>
  <c r="D30" i="12"/>
  <c r="G62" i="12"/>
  <c r="D14" i="11"/>
  <c r="E20" i="11"/>
  <c r="D27" i="11"/>
  <c r="D36" i="11"/>
  <c r="C9" i="10"/>
  <c r="C12" i="10"/>
  <c r="C19" i="10"/>
  <c r="H40" i="10"/>
  <c r="C47" i="10"/>
  <c r="E53" i="10"/>
  <c r="E9" i="12"/>
  <c r="C20" i="12"/>
  <c r="E30" i="12"/>
  <c r="E44" i="12"/>
  <c r="H62" i="12"/>
  <c r="O7" i="7"/>
  <c r="I13" i="11"/>
  <c r="C28" i="12"/>
  <c r="H11" i="10"/>
  <c r="G19" i="11"/>
  <c r="D9" i="10"/>
  <c r="D19" i="10"/>
  <c r="C41" i="10"/>
  <c r="F10" i="12"/>
  <c r="D25" i="12"/>
  <c r="F34" i="12"/>
  <c r="C48" i="12"/>
  <c r="O49" i="7"/>
  <c r="G33" i="11"/>
  <c r="F39" i="10"/>
  <c r="H14" i="11"/>
  <c r="C8" i="10"/>
  <c r="D53" i="10"/>
  <c r="D44" i="12"/>
  <c r="I8" i="11"/>
  <c r="I14" i="11"/>
  <c r="C9" i="11"/>
  <c r="E14" i="11"/>
  <c r="G15" i="11"/>
  <c r="H27" i="11"/>
  <c r="D37" i="11"/>
  <c r="C13" i="10"/>
  <c r="D48" i="10"/>
  <c r="H9" i="11"/>
  <c r="G11" i="11"/>
  <c r="C18" i="11"/>
  <c r="I20" i="11"/>
  <c r="I26" i="11"/>
  <c r="H37" i="11"/>
  <c r="E9" i="10"/>
  <c r="D13" i="10"/>
  <c r="E20" i="10"/>
  <c r="H30" i="10"/>
  <c r="D42" i="10"/>
  <c r="E48" i="10"/>
  <c r="C16" i="12"/>
  <c r="E25" i="12"/>
  <c r="D48" i="12"/>
  <c r="E8" i="11"/>
  <c r="D20" i="11"/>
  <c r="H43" i="10"/>
  <c r="E13" i="12"/>
  <c r="G41" i="12"/>
  <c r="E19" i="11"/>
  <c r="D28" i="10"/>
  <c r="C11" i="14"/>
  <c r="D11" i="11"/>
  <c r="I11" i="11"/>
  <c r="E18" i="11"/>
  <c r="I27" i="11"/>
  <c r="E10" i="10"/>
  <c r="E13" i="10"/>
  <c r="F20" i="10"/>
  <c r="C31" i="10"/>
  <c r="E42" i="10"/>
  <c r="F49" i="10"/>
  <c r="H22" i="10"/>
  <c r="D17" i="12"/>
  <c r="F26" i="12"/>
  <c r="H7" i="10"/>
  <c r="C51" i="10"/>
  <c r="C14" i="11"/>
  <c r="C37" i="11"/>
  <c r="E11" i="11"/>
  <c r="G12" i="11"/>
  <c r="G18" i="11"/>
  <c r="C22" i="11"/>
  <c r="E33" i="11"/>
  <c r="I37" i="11"/>
  <c r="F10" i="10"/>
  <c r="E14" i="10"/>
  <c r="D34" i="10"/>
  <c r="F43" i="10"/>
  <c r="D29" i="10"/>
  <c r="C12" i="12"/>
  <c r="E17" i="12"/>
  <c r="G26" i="12"/>
  <c r="C39" i="12"/>
  <c r="C52" i="12"/>
  <c r="P7" i="13" l="1"/>
  <c r="Q7" i="13" s="1"/>
  <c r="P13" i="13"/>
  <c r="Q13" i="13" s="1"/>
  <c r="P12" i="13"/>
  <c r="Q12" i="13" s="1"/>
  <c r="J10" i="13"/>
  <c r="E65" i="12"/>
  <c r="F65" i="12"/>
  <c r="G65" i="12"/>
  <c r="J65" i="12"/>
  <c r="H65" i="12"/>
  <c r="I65" i="12"/>
  <c r="D65" i="12"/>
  <c r="C65" i="12"/>
  <c r="K65" i="12"/>
  <c r="L65" i="12"/>
  <c r="M65" i="12"/>
  <c r="E53" i="12"/>
  <c r="D53" i="12"/>
  <c r="G53" i="12"/>
  <c r="H53" i="12"/>
  <c r="I76" i="12"/>
  <c r="I53" i="12"/>
  <c r="K53" i="12"/>
  <c r="M53" i="12"/>
  <c r="C76" i="12"/>
  <c r="C53" i="12"/>
  <c r="L76" i="12"/>
  <c r="L53" i="12"/>
  <c r="F53" i="12"/>
  <c r="J76" i="12"/>
  <c r="J53" i="12"/>
  <c r="P8" i="13"/>
  <c r="Q8" i="13" s="1"/>
  <c r="M75" i="12"/>
  <c r="P15" i="13"/>
  <c r="Q15" i="13" s="1"/>
  <c r="P33" i="11"/>
  <c r="Q33" i="11" s="1"/>
  <c r="P11" i="11"/>
  <c r="Q11" i="11" s="1"/>
  <c r="P36" i="11"/>
  <c r="Q36" i="11" s="1"/>
  <c r="P32" i="11"/>
  <c r="Q32" i="11" s="1"/>
  <c r="P15" i="11"/>
  <c r="Q15" i="11" s="1"/>
  <c r="P19" i="11"/>
  <c r="Q19" i="11" s="1"/>
  <c r="P26" i="11"/>
  <c r="Q26" i="11" s="1"/>
  <c r="O38" i="11"/>
  <c r="P37" i="11"/>
  <c r="P20" i="11"/>
  <c r="Q20" i="11" s="1"/>
  <c r="P22" i="11"/>
  <c r="Q22" i="11" s="1"/>
  <c r="P8" i="11"/>
  <c r="Q8" i="11" s="1"/>
  <c r="P13" i="11"/>
  <c r="Q13" i="11" s="1"/>
  <c r="P9" i="11"/>
  <c r="Q9" i="11" s="1"/>
  <c r="P18" i="11"/>
  <c r="Q18" i="11" s="1"/>
  <c r="P12" i="11"/>
  <c r="Q12" i="11" s="1"/>
  <c r="M5" i="12"/>
  <c r="M22" i="12" s="1"/>
  <c r="M32" i="12" s="1"/>
  <c r="M36" i="12" s="1"/>
  <c r="M35" i="10"/>
  <c r="P11" i="14"/>
  <c r="Q11" i="14" s="1"/>
  <c r="H119" i="7"/>
  <c r="M44" i="10"/>
  <c r="C132" i="7"/>
  <c r="O16" i="13"/>
  <c r="M52" i="10"/>
  <c r="P14" i="15"/>
  <c r="Q14" i="15" s="1"/>
  <c r="G132" i="7"/>
  <c r="O15" i="15"/>
  <c r="F127" i="7"/>
  <c r="P7" i="14"/>
  <c r="Q7" i="14" s="1"/>
  <c r="O9" i="14"/>
  <c r="P8" i="25"/>
  <c r="Q8" i="25" s="1"/>
  <c r="O20" i="25"/>
  <c r="P8" i="15"/>
  <c r="Q8" i="15" s="1"/>
  <c r="P11" i="15"/>
  <c r="Q11" i="15" s="1"/>
  <c r="O19" i="25"/>
  <c r="E32" i="6"/>
  <c r="E127" i="7"/>
  <c r="P7" i="25"/>
  <c r="Q7" i="25" s="1"/>
  <c r="O10" i="25"/>
  <c r="P8" i="24"/>
  <c r="Q8" i="24" s="1"/>
  <c r="O20" i="24"/>
  <c r="G130" i="7"/>
  <c r="P12" i="15"/>
  <c r="Q12" i="15" s="1"/>
  <c r="O13" i="15"/>
  <c r="L75" i="12"/>
  <c r="O25" i="13"/>
  <c r="C127" i="7"/>
  <c r="O24" i="13"/>
  <c r="O10" i="13"/>
  <c r="P8" i="14"/>
  <c r="Q8" i="14" s="1"/>
  <c r="H129" i="7"/>
  <c r="M21" i="10"/>
  <c r="M15" i="10"/>
  <c r="O9" i="15"/>
  <c r="P7" i="15"/>
  <c r="Q7" i="15" s="1"/>
  <c r="G127" i="7"/>
  <c r="F130" i="7"/>
  <c r="P12" i="14"/>
  <c r="Q12" i="14" s="1"/>
  <c r="O13" i="14"/>
  <c r="E31" i="6"/>
  <c r="D127" i="7"/>
  <c r="P7" i="24"/>
  <c r="Q7" i="24" s="1"/>
  <c r="O10" i="24"/>
  <c r="O19" i="24"/>
  <c r="H131" i="7"/>
  <c r="M76" i="12"/>
  <c r="C130" i="7"/>
  <c r="O14" i="13"/>
  <c r="F132" i="7"/>
  <c r="P14" i="14"/>
  <c r="Q14" i="14" s="1"/>
  <c r="O15" i="14"/>
  <c r="H133" i="7"/>
  <c r="C41" i="6"/>
  <c r="H117" i="7"/>
  <c r="N10" i="11"/>
  <c r="L3" i="22" s="1"/>
  <c r="H121" i="7"/>
  <c r="L52" i="10"/>
  <c r="N41" i="11"/>
  <c r="L7" i="22" s="1"/>
  <c r="N34" i="11"/>
  <c r="L6" i="22" s="1"/>
  <c r="L5" i="12"/>
  <c r="L22" i="12" s="1"/>
  <c r="L32" i="12" s="1"/>
  <c r="L36" i="12" s="1"/>
  <c r="N16" i="13"/>
  <c r="C120" i="7"/>
  <c r="G115" i="7"/>
  <c r="N9" i="15"/>
  <c r="N20" i="25"/>
  <c r="F120" i="7"/>
  <c r="N15" i="14"/>
  <c r="L21" i="10"/>
  <c r="D115" i="7"/>
  <c r="D31" i="6"/>
  <c r="N19" i="24"/>
  <c r="N10" i="24"/>
  <c r="L44" i="10"/>
  <c r="N20" i="24"/>
  <c r="D26" i="6"/>
  <c r="G120" i="7"/>
  <c r="N15" i="15"/>
  <c r="F115" i="7"/>
  <c r="N9" i="14"/>
  <c r="N38" i="11"/>
  <c r="N25" i="13"/>
  <c r="L15" i="10"/>
  <c r="E115" i="7"/>
  <c r="N19" i="25"/>
  <c r="D32" i="6"/>
  <c r="N10" i="25"/>
  <c r="G118" i="7"/>
  <c r="N13" i="15"/>
  <c r="J5" i="12"/>
  <c r="J22" i="12" s="1"/>
  <c r="J32" i="12" s="1"/>
  <c r="J36" i="12" s="1"/>
  <c r="C118" i="7"/>
  <c r="N14" i="13"/>
  <c r="F118" i="7"/>
  <c r="N13" i="14"/>
  <c r="E36" i="9"/>
  <c r="O10" i="11"/>
  <c r="L35" i="10"/>
  <c r="N10" i="13"/>
  <c r="C115" i="7"/>
  <c r="N24" i="13"/>
  <c r="O41" i="11"/>
  <c r="O34" i="11"/>
  <c r="C42" i="6"/>
  <c r="E141" i="9"/>
  <c r="C141" i="9"/>
  <c r="K52" i="10"/>
  <c r="J21" i="10"/>
  <c r="K5" i="12"/>
  <c r="K22" i="12" s="1"/>
  <c r="K32" i="12" s="1"/>
  <c r="K36" i="12" s="1"/>
  <c r="L12" i="15"/>
  <c r="J44" i="10"/>
  <c r="H93" i="7"/>
  <c r="L11" i="15"/>
  <c r="F10" i="25"/>
  <c r="F11" i="25" s="1"/>
  <c r="K75" i="12"/>
  <c r="M10" i="11"/>
  <c r="F108" i="7"/>
  <c r="M15" i="14"/>
  <c r="H109" i="7"/>
  <c r="K10" i="25"/>
  <c r="K33" i="10"/>
  <c r="K35" i="10" s="1"/>
  <c r="C103" i="7"/>
  <c r="M24" i="13"/>
  <c r="M10" i="13"/>
  <c r="K15" i="10"/>
  <c r="G7" i="15"/>
  <c r="G106" i="7"/>
  <c r="M13" i="15"/>
  <c r="G103" i="7"/>
  <c r="M9" i="15"/>
  <c r="K44" i="10"/>
  <c r="C108" i="7"/>
  <c r="M16" i="13"/>
  <c r="M25" i="13"/>
  <c r="F103" i="7"/>
  <c r="M9" i="14"/>
  <c r="G108" i="7"/>
  <c r="M15" i="15"/>
  <c r="G11" i="14"/>
  <c r="H105" i="7"/>
  <c r="G11" i="15"/>
  <c r="M41" i="11"/>
  <c r="M34" i="11"/>
  <c r="C106" i="7"/>
  <c r="M14" i="13"/>
  <c r="E103" i="7"/>
  <c r="M19" i="25"/>
  <c r="M10" i="25"/>
  <c r="H107" i="7"/>
  <c r="M42" i="11"/>
  <c r="M38" i="11"/>
  <c r="K21" i="10"/>
  <c r="M20" i="24"/>
  <c r="C30" i="6"/>
  <c r="K76" i="12"/>
  <c r="D103" i="7"/>
  <c r="M19" i="24"/>
  <c r="M10" i="24"/>
  <c r="F106" i="7"/>
  <c r="M13" i="14"/>
  <c r="M20" i="25"/>
  <c r="I10" i="25"/>
  <c r="G8" i="14"/>
  <c r="L7" i="14"/>
  <c r="G14" i="15"/>
  <c r="G8" i="15"/>
  <c r="G7" i="14"/>
  <c r="L8" i="13"/>
  <c r="L7" i="15"/>
  <c r="H20" i="24"/>
  <c r="L8" i="24"/>
  <c r="H97" i="7"/>
  <c r="L8" i="25"/>
  <c r="D10" i="25"/>
  <c r="D21" i="25" s="1"/>
  <c r="L11" i="14"/>
  <c r="L8" i="14"/>
  <c r="G13" i="13"/>
  <c r="L15" i="13"/>
  <c r="H95" i="7"/>
  <c r="L14" i="15"/>
  <c r="L7" i="13"/>
  <c r="L14" i="14"/>
  <c r="G8" i="13"/>
  <c r="G25" i="13" s="1"/>
  <c r="G14" i="14"/>
  <c r="L12" i="14"/>
  <c r="G7" i="13"/>
  <c r="L13" i="13"/>
  <c r="L8" i="15"/>
  <c r="G15" i="13"/>
  <c r="J10" i="25"/>
  <c r="J21" i="25" s="1"/>
  <c r="H10" i="25"/>
  <c r="L7" i="25"/>
  <c r="C10" i="25"/>
  <c r="C21" i="25" s="1"/>
  <c r="G7" i="25"/>
  <c r="G12" i="13"/>
  <c r="G12" i="14"/>
  <c r="G12" i="15"/>
  <c r="L12" i="13"/>
  <c r="L7" i="24"/>
  <c r="G8" i="25"/>
  <c r="G20" i="25" s="1"/>
  <c r="E10" i="25"/>
  <c r="E21" i="25" s="1"/>
  <c r="G7" i="24"/>
  <c r="G8" i="24"/>
  <c r="G20" i="24" s="1"/>
  <c r="L198" i="9"/>
  <c r="L197" i="9"/>
  <c r="N196" i="9"/>
  <c r="N197" i="9"/>
  <c r="L199" i="9"/>
  <c r="N195" i="9"/>
  <c r="L195" i="9"/>
  <c r="L196" i="9"/>
  <c r="N198" i="9"/>
  <c r="N199" i="9"/>
  <c r="K27" i="11"/>
  <c r="C94" i="7"/>
  <c r="K14" i="13"/>
  <c r="K14" i="11"/>
  <c r="K19" i="11"/>
  <c r="G91" i="7"/>
  <c r="K9" i="15"/>
  <c r="L10" i="11"/>
  <c r="L16" i="11" s="1"/>
  <c r="L21" i="11" s="1"/>
  <c r="L23" i="11" s="1"/>
  <c r="L28" i="11" s="1"/>
  <c r="K8" i="11"/>
  <c r="J75" i="12"/>
  <c r="K24" i="13"/>
  <c r="K10" i="13"/>
  <c r="F16" i="13"/>
  <c r="J15" i="10"/>
  <c r="L34" i="11"/>
  <c r="K32" i="11"/>
  <c r="L41" i="11"/>
  <c r="K37" i="11"/>
  <c r="F94" i="7"/>
  <c r="K13" i="14"/>
  <c r="K36" i="11"/>
  <c r="L38" i="11"/>
  <c r="K26" i="11"/>
  <c r="K16" i="13"/>
  <c r="C96" i="7"/>
  <c r="K19" i="24"/>
  <c r="D91" i="7"/>
  <c r="K10" i="24"/>
  <c r="J33" i="10"/>
  <c r="J35" i="10" s="1"/>
  <c r="J52" i="10"/>
  <c r="K12" i="11"/>
  <c r="K22" i="11"/>
  <c r="F14" i="13"/>
  <c r="K13" i="15"/>
  <c r="G94" i="7"/>
  <c r="F91" i="7"/>
  <c r="K9" i="14"/>
  <c r="K15" i="11"/>
  <c r="K9" i="11"/>
  <c r="F96" i="7"/>
  <c r="K15" i="14"/>
  <c r="K25" i="13"/>
  <c r="F10" i="13"/>
  <c r="F11" i="13" s="1"/>
  <c r="K11" i="11"/>
  <c r="L42" i="11"/>
  <c r="K33" i="11"/>
  <c r="K42" i="11" s="1"/>
  <c r="K20" i="11"/>
  <c r="G96" i="7"/>
  <c r="K15" i="15"/>
  <c r="K20" i="25"/>
  <c r="K19" i="25"/>
  <c r="E91" i="7"/>
  <c r="K13" i="11"/>
  <c r="K18" i="11"/>
  <c r="I20" i="25"/>
  <c r="F20" i="24"/>
  <c r="I14" i="13"/>
  <c r="I16" i="13"/>
  <c r="D16" i="13"/>
  <c r="D14" i="13"/>
  <c r="C14" i="13"/>
  <c r="C16" i="13"/>
  <c r="E14" i="13"/>
  <c r="E16" i="13"/>
  <c r="H14" i="13"/>
  <c r="H16" i="13"/>
  <c r="J14" i="13"/>
  <c r="J16" i="13"/>
  <c r="D79" i="7"/>
  <c r="I19" i="25"/>
  <c r="E19" i="25"/>
  <c r="C19" i="25"/>
  <c r="D19" i="25"/>
  <c r="F19" i="25"/>
  <c r="E44" i="7"/>
  <c r="J19" i="25"/>
  <c r="E55" i="7"/>
  <c r="H19" i="25"/>
  <c r="F10" i="24"/>
  <c r="D44" i="7"/>
  <c r="F19" i="24"/>
  <c r="E20" i="7"/>
  <c r="E79" i="7"/>
  <c r="H10" i="24"/>
  <c r="D55" i="7"/>
  <c r="H19" i="24"/>
  <c r="E7" i="7"/>
  <c r="E33" i="7"/>
  <c r="C70" i="7"/>
  <c r="C72" i="7"/>
  <c r="I10" i="24"/>
  <c r="D67" i="7"/>
  <c r="I19" i="24"/>
  <c r="C20" i="24"/>
  <c r="C10" i="24"/>
  <c r="C21" i="24" s="1"/>
  <c r="D7" i="7"/>
  <c r="C19" i="24"/>
  <c r="E67" i="7"/>
  <c r="D33" i="7"/>
  <c r="E10" i="24"/>
  <c r="E21" i="24" s="1"/>
  <c r="I20" i="24"/>
  <c r="D20" i="7"/>
  <c r="D10" i="24"/>
  <c r="D21" i="24" s="1"/>
  <c r="D19" i="24"/>
  <c r="D20" i="24"/>
  <c r="I5" i="12"/>
  <c r="I22" i="12" s="1"/>
  <c r="I32" i="12" s="1"/>
  <c r="I36" i="12" s="1"/>
  <c r="N78" i="9"/>
  <c r="N99" i="9"/>
  <c r="L36" i="9"/>
  <c r="E57" i="9"/>
  <c r="C199" i="9"/>
  <c r="E183" i="9"/>
  <c r="N162" i="9"/>
  <c r="L78" i="9"/>
  <c r="I44" i="10"/>
  <c r="C162" i="9"/>
  <c r="I21" i="10"/>
  <c r="C196" i="9"/>
  <c r="C36" i="9"/>
  <c r="C120" i="9"/>
  <c r="E78" i="9"/>
  <c r="C99" i="9"/>
  <c r="L14" i="9"/>
  <c r="N120" i="9"/>
  <c r="L120" i="9"/>
  <c r="N36" i="9"/>
  <c r="E99" i="9"/>
  <c r="C57" i="9"/>
  <c r="H75" i="12"/>
  <c r="I75" i="12"/>
  <c r="I52" i="10"/>
  <c r="I33" i="10"/>
  <c r="I35" i="10" s="1"/>
  <c r="I15" i="10"/>
  <c r="C78" i="9"/>
  <c r="C198" i="9"/>
  <c r="E120" i="9"/>
  <c r="L162" i="9"/>
  <c r="N141" i="9"/>
  <c r="L99" i="9"/>
  <c r="N14" i="9"/>
  <c r="C197" i="9"/>
  <c r="E162" i="9"/>
  <c r="C195" i="9"/>
  <c r="C183" i="9"/>
  <c r="L183" i="9"/>
  <c r="L57" i="9"/>
  <c r="L141" i="9"/>
  <c r="N183" i="9"/>
  <c r="N57" i="9"/>
  <c r="J41" i="11"/>
  <c r="I7" i="22" s="1"/>
  <c r="J34" i="11"/>
  <c r="J38" i="11"/>
  <c r="J42" i="11"/>
  <c r="J10" i="11"/>
  <c r="E75" i="12"/>
  <c r="D75" i="12"/>
  <c r="P44" i="7"/>
  <c r="G33" i="10"/>
  <c r="P45" i="7"/>
  <c r="P47" i="7"/>
  <c r="E33" i="10"/>
  <c r="H33" i="10"/>
  <c r="F18" i="11"/>
  <c r="F33" i="10"/>
  <c r="C33" i="10"/>
  <c r="D33" i="10"/>
  <c r="P49" i="7"/>
  <c r="J77" i="12" l="1"/>
  <c r="L77" i="12"/>
  <c r="P34" i="11"/>
  <c r="Q34" i="11" s="1"/>
  <c r="P38" i="11"/>
  <c r="Q38" i="11" s="1"/>
  <c r="G32" i="6"/>
  <c r="E30" i="6"/>
  <c r="F133" i="7"/>
  <c r="M54" i="10"/>
  <c r="M55" i="10" s="1"/>
  <c r="P10" i="11"/>
  <c r="Q10" i="11" s="1"/>
  <c r="F131" i="7"/>
  <c r="G133" i="7"/>
  <c r="M77" i="12"/>
  <c r="G131" i="7"/>
  <c r="O10" i="14"/>
  <c r="F128" i="7"/>
  <c r="F129" i="7" s="1"/>
  <c r="M6" i="22"/>
  <c r="O16" i="11"/>
  <c r="M3" i="22"/>
  <c r="M7" i="22"/>
  <c r="P41" i="11"/>
  <c r="Q41" i="11" s="1"/>
  <c r="P42" i="11"/>
  <c r="Q42" i="11" s="1"/>
  <c r="J127" i="7"/>
  <c r="I127" i="7"/>
  <c r="K127" i="7" s="1"/>
  <c r="O10" i="15"/>
  <c r="G128" i="7"/>
  <c r="G129" i="7" s="1"/>
  <c r="M23" i="10"/>
  <c r="M67" i="12"/>
  <c r="M71" i="12" s="1"/>
  <c r="I130" i="7"/>
  <c r="C131" i="7"/>
  <c r="E128" i="7"/>
  <c r="E129" i="7" s="1"/>
  <c r="P10" i="25"/>
  <c r="Q10" i="25" s="1"/>
  <c r="O21" i="25"/>
  <c r="O11" i="25"/>
  <c r="N16" i="11"/>
  <c r="L4" i="22" s="1"/>
  <c r="O21" i="24"/>
  <c r="D128" i="7"/>
  <c r="D129" i="7" s="1"/>
  <c r="O11" i="24"/>
  <c r="C133" i="7"/>
  <c r="I132" i="7"/>
  <c r="O11" i="13"/>
  <c r="C128" i="7"/>
  <c r="G119" i="7"/>
  <c r="F119" i="7"/>
  <c r="G121" i="7"/>
  <c r="D30" i="6"/>
  <c r="N11" i="13"/>
  <c r="C116" i="7"/>
  <c r="C119" i="7"/>
  <c r="I118" i="7"/>
  <c r="N10" i="15"/>
  <c r="G116" i="7"/>
  <c r="G117" i="7" s="1"/>
  <c r="L67" i="12"/>
  <c r="L71" i="12" s="1"/>
  <c r="G31" i="6"/>
  <c r="L23" i="10"/>
  <c r="N10" i="14"/>
  <c r="F116" i="7"/>
  <c r="F117" i="7" s="1"/>
  <c r="D116" i="7"/>
  <c r="D117" i="7" s="1"/>
  <c r="N11" i="24"/>
  <c r="N21" i="24"/>
  <c r="J115" i="7"/>
  <c r="I115" i="7"/>
  <c r="K115" i="7" s="1"/>
  <c r="L54" i="10"/>
  <c r="L55" i="10" s="1"/>
  <c r="E116" i="7"/>
  <c r="E117" i="7" s="1"/>
  <c r="N21" i="25"/>
  <c r="N11" i="25"/>
  <c r="F121" i="7"/>
  <c r="I120" i="7"/>
  <c r="C121" i="7"/>
  <c r="I21" i="24"/>
  <c r="K54" i="10"/>
  <c r="K55" i="10" s="1"/>
  <c r="J23" i="10"/>
  <c r="J54" i="10"/>
  <c r="J55" i="10" s="1"/>
  <c r="F107" i="7"/>
  <c r="G9" i="14"/>
  <c r="G10" i="14" s="1"/>
  <c r="F109" i="7"/>
  <c r="K77" i="12"/>
  <c r="F104" i="7"/>
  <c r="F105" i="7" s="1"/>
  <c r="M10" i="14"/>
  <c r="C104" i="7"/>
  <c r="M11" i="13"/>
  <c r="C107" i="7"/>
  <c r="I106" i="7"/>
  <c r="G107" i="7"/>
  <c r="K6" i="22"/>
  <c r="K67" i="12"/>
  <c r="K71" i="12" s="1"/>
  <c r="G104" i="7"/>
  <c r="G105" i="7" s="1"/>
  <c r="M10" i="15"/>
  <c r="C109" i="7"/>
  <c r="I108" i="7"/>
  <c r="K3" i="22"/>
  <c r="M16" i="11"/>
  <c r="G13" i="14"/>
  <c r="D104" i="7"/>
  <c r="D105" i="7" s="1"/>
  <c r="M11" i="24"/>
  <c r="M21" i="24"/>
  <c r="J103" i="7"/>
  <c r="I103" i="7"/>
  <c r="K103" i="7" s="1"/>
  <c r="K7" i="22"/>
  <c r="E104" i="7"/>
  <c r="E105" i="7" s="1"/>
  <c r="M11" i="25"/>
  <c r="M21" i="25"/>
  <c r="G109" i="7"/>
  <c r="K23" i="10"/>
  <c r="H21" i="24"/>
  <c r="L9" i="15"/>
  <c r="G9" i="15"/>
  <c r="G10" i="15" s="1"/>
  <c r="G15" i="15"/>
  <c r="G13" i="15"/>
  <c r="L13" i="15"/>
  <c r="L9" i="14"/>
  <c r="L10" i="14" s="1"/>
  <c r="G15" i="14"/>
  <c r="L10" i="24"/>
  <c r="L19" i="24"/>
  <c r="G24" i="13"/>
  <c r="G10" i="13"/>
  <c r="G11" i="13" s="1"/>
  <c r="G16" i="13"/>
  <c r="L16" i="13"/>
  <c r="L10" i="25"/>
  <c r="L19" i="25"/>
  <c r="L15" i="15"/>
  <c r="L13" i="14"/>
  <c r="L20" i="25"/>
  <c r="G14" i="13"/>
  <c r="G19" i="25"/>
  <c r="G10" i="25"/>
  <c r="L14" i="13"/>
  <c r="L20" i="24"/>
  <c r="L10" i="13"/>
  <c r="L15" i="14"/>
  <c r="G10" i="24"/>
  <c r="G19" i="24"/>
  <c r="J91" i="7"/>
  <c r="I91" i="7"/>
  <c r="C97" i="7"/>
  <c r="G97" i="7"/>
  <c r="I96" i="7"/>
  <c r="G95" i="7"/>
  <c r="I94" i="7"/>
  <c r="J67" i="12"/>
  <c r="J71" i="12" s="1"/>
  <c r="K38" i="11"/>
  <c r="F97" i="7"/>
  <c r="K10" i="11"/>
  <c r="F95" i="7"/>
  <c r="K10" i="14"/>
  <c r="F92" i="7"/>
  <c r="F93" i="7" s="1"/>
  <c r="K11" i="13"/>
  <c r="C92" i="7"/>
  <c r="K10" i="15"/>
  <c r="G92" i="7"/>
  <c r="K34" i="11"/>
  <c r="K41" i="11"/>
  <c r="J7" i="22" s="1"/>
  <c r="C95" i="7"/>
  <c r="E92" i="7"/>
  <c r="E93" i="7" s="1"/>
  <c r="K21" i="25"/>
  <c r="K11" i="25"/>
  <c r="D92" i="7"/>
  <c r="K21" i="24"/>
  <c r="K11" i="24"/>
  <c r="I21" i="25"/>
  <c r="I3" i="22"/>
  <c r="I6" i="22"/>
  <c r="H11" i="25"/>
  <c r="H21" i="25"/>
  <c r="F21" i="25"/>
  <c r="E45" i="7"/>
  <c r="E46" i="7" s="1"/>
  <c r="F11" i="24"/>
  <c r="F21" i="24"/>
  <c r="D45" i="7"/>
  <c r="D46" i="7" s="1"/>
  <c r="E56" i="7"/>
  <c r="E57" i="7" s="1"/>
  <c r="I67" i="12"/>
  <c r="I71" i="12" s="1"/>
  <c r="D11" i="25"/>
  <c r="E21" i="7"/>
  <c r="E22" i="7" s="1"/>
  <c r="D11" i="24"/>
  <c r="D21" i="7"/>
  <c r="E11" i="24"/>
  <c r="D34" i="7"/>
  <c r="D68" i="7"/>
  <c r="I11" i="24"/>
  <c r="C11" i="25"/>
  <c r="E8" i="7"/>
  <c r="E9" i="7" s="1"/>
  <c r="C11" i="24"/>
  <c r="D8" i="7"/>
  <c r="E80" i="7"/>
  <c r="E81" i="7" s="1"/>
  <c r="J11" i="25"/>
  <c r="I11" i="25"/>
  <c r="E68" i="7"/>
  <c r="E69" i="7" s="1"/>
  <c r="E11" i="25"/>
  <c r="E34" i="7"/>
  <c r="E35" i="7" s="1"/>
  <c r="H11" i="24"/>
  <c r="D56" i="7"/>
  <c r="I77" i="12"/>
  <c r="I54" i="10"/>
  <c r="I55" i="10" s="1"/>
  <c r="I23" i="10"/>
  <c r="C201" i="9"/>
  <c r="C202" i="9" s="1"/>
  <c r="J16" i="11"/>
  <c r="I4" i="22" s="1"/>
  <c r="P36" i="7"/>
  <c r="P34" i="7"/>
  <c r="P33" i="7"/>
  <c r="L56" i="10" l="1"/>
  <c r="G30" i="6"/>
  <c r="M56" i="10"/>
  <c r="P16" i="11"/>
  <c r="Q16" i="11" s="1"/>
  <c r="I133" i="7"/>
  <c r="N21" i="11"/>
  <c r="N23" i="11" s="1"/>
  <c r="N28" i="11" s="1"/>
  <c r="O21" i="11"/>
  <c r="M4" i="22"/>
  <c r="K130" i="7"/>
  <c r="I131" i="7"/>
  <c r="I128" i="7"/>
  <c r="J128" i="7"/>
  <c r="C129" i="7"/>
  <c r="J129" i="7" s="1"/>
  <c r="J56" i="10"/>
  <c r="I121" i="7"/>
  <c r="I119" i="7"/>
  <c r="K118" i="7"/>
  <c r="J116" i="7"/>
  <c r="C117" i="7"/>
  <c r="J117" i="7" s="1"/>
  <c r="I116" i="7"/>
  <c r="L10" i="15"/>
  <c r="K106" i="7"/>
  <c r="K56" i="10"/>
  <c r="I109" i="7"/>
  <c r="J104" i="7"/>
  <c r="C105" i="7"/>
  <c r="J105" i="7" s="1"/>
  <c r="I104" i="7"/>
  <c r="K104" i="7" s="1"/>
  <c r="K4" i="22"/>
  <c r="M21" i="11"/>
  <c r="I107" i="7"/>
  <c r="L11" i="13"/>
  <c r="L11" i="25"/>
  <c r="L21" i="25"/>
  <c r="I97" i="7"/>
  <c r="L11" i="24"/>
  <c r="L21" i="24"/>
  <c r="G21" i="25"/>
  <c r="G11" i="25"/>
  <c r="I95" i="7"/>
  <c r="G11" i="24"/>
  <c r="G21" i="24"/>
  <c r="C93" i="7"/>
  <c r="J92" i="7"/>
  <c r="G93" i="7"/>
  <c r="I92" i="7"/>
  <c r="D93" i="7"/>
  <c r="J6" i="22"/>
  <c r="I120" i="9"/>
  <c r="J3" i="22"/>
  <c r="K16" i="11"/>
  <c r="I57" i="9"/>
  <c r="I99" i="9"/>
  <c r="I78" i="9"/>
  <c r="I36" i="9"/>
  <c r="I141" i="9"/>
  <c r="D35" i="7"/>
  <c r="D22" i="7"/>
  <c r="D57" i="7"/>
  <c r="D9" i="7"/>
  <c r="D69" i="7"/>
  <c r="I56" i="10"/>
  <c r="J21" i="11"/>
  <c r="P38" i="7"/>
  <c r="P21" i="11" l="1"/>
  <c r="Q21" i="11" s="1"/>
  <c r="K128" i="7"/>
  <c r="I129" i="7"/>
  <c r="O23" i="11"/>
  <c r="I117" i="7"/>
  <c r="K116" i="7"/>
  <c r="I105" i="7"/>
  <c r="M23" i="11"/>
  <c r="J93" i="7"/>
  <c r="J4" i="22"/>
  <c r="K21" i="11"/>
  <c r="K23" i="11" s="1"/>
  <c r="K28" i="11" s="1"/>
  <c r="I93" i="7"/>
  <c r="J23" i="11"/>
  <c r="P23" i="7"/>
  <c r="P21" i="7"/>
  <c r="P20" i="7"/>
  <c r="P23" i="11" l="1"/>
  <c r="Q23" i="11" s="1"/>
  <c r="O28" i="11"/>
  <c r="M28" i="11"/>
  <c r="J28" i="11"/>
  <c r="P25" i="7"/>
  <c r="P28" i="11" l="1"/>
  <c r="Q28" i="11" s="1"/>
  <c r="P10" i="7"/>
  <c r="P8" i="7"/>
  <c r="P7" i="7"/>
  <c r="P12" i="7"/>
  <c r="H73" i="7" l="1"/>
  <c r="H71" i="7"/>
  <c r="H69" i="7"/>
  <c r="H35" i="7"/>
  <c r="H37" i="7"/>
  <c r="H39" i="7"/>
  <c r="P13" i="7"/>
  <c r="O13" i="7"/>
  <c r="N13" i="7"/>
  <c r="M13" i="7"/>
  <c r="L13" i="7"/>
  <c r="H13" i="7"/>
  <c r="H61" i="7"/>
  <c r="H59" i="7"/>
  <c r="H57" i="7"/>
  <c r="P50" i="7"/>
  <c r="O50" i="7"/>
  <c r="N50" i="7"/>
  <c r="M50" i="7"/>
  <c r="L50" i="7"/>
  <c r="H50" i="7"/>
  <c r="P48" i="7"/>
  <c r="O48" i="7"/>
  <c r="N48" i="7"/>
  <c r="M48" i="7"/>
  <c r="L48" i="7"/>
  <c r="H48" i="7"/>
  <c r="P46" i="7"/>
  <c r="O46" i="7"/>
  <c r="N46" i="7"/>
  <c r="M46" i="7"/>
  <c r="L46" i="7"/>
  <c r="H46" i="7"/>
  <c r="P39" i="7"/>
  <c r="O39" i="7"/>
  <c r="N39" i="7"/>
  <c r="M39" i="7"/>
  <c r="L39" i="7"/>
  <c r="P37" i="7"/>
  <c r="O37" i="7"/>
  <c r="N37" i="7"/>
  <c r="M37" i="7"/>
  <c r="L37" i="7"/>
  <c r="P35" i="7"/>
  <c r="O35" i="7"/>
  <c r="N35" i="7"/>
  <c r="M35" i="7"/>
  <c r="L35" i="7"/>
  <c r="P26" i="7"/>
  <c r="O26" i="7"/>
  <c r="N26" i="7"/>
  <c r="M26" i="7"/>
  <c r="L26" i="7"/>
  <c r="P24" i="7"/>
  <c r="O24" i="7"/>
  <c r="N24" i="7"/>
  <c r="M24" i="7"/>
  <c r="L24" i="7"/>
  <c r="P22" i="7"/>
  <c r="O22" i="7"/>
  <c r="N22" i="7"/>
  <c r="M22" i="7"/>
  <c r="L22" i="7"/>
  <c r="H22" i="7"/>
  <c r="H26" i="7"/>
  <c r="H24" i="7"/>
  <c r="P11" i="7"/>
  <c r="O11" i="7"/>
  <c r="N11" i="7"/>
  <c r="M11" i="7"/>
  <c r="L11" i="7"/>
  <c r="P9" i="7"/>
  <c r="O9" i="7"/>
  <c r="N9" i="7"/>
  <c r="M9" i="7"/>
  <c r="L9" i="7"/>
  <c r="H11" i="7"/>
  <c r="H9" i="7"/>
  <c r="N209" i="9"/>
  <c r="L209" i="9"/>
  <c r="K190" i="9"/>
  <c r="Q181" i="9"/>
  <c r="P181" i="9"/>
  <c r="P180" i="9"/>
  <c r="Q179" i="9"/>
  <c r="P178" i="9"/>
  <c r="Q177" i="9"/>
  <c r="P177" i="9"/>
  <c r="K172" i="9"/>
  <c r="N169" i="9"/>
  <c r="L169" i="9"/>
  <c r="Q167" i="9"/>
  <c r="P167" i="9"/>
  <c r="L232" i="9" s="1"/>
  <c r="M232" i="9" s="1"/>
  <c r="Q160" i="9"/>
  <c r="P160" i="9"/>
  <c r="P159" i="9"/>
  <c r="Q159" i="9"/>
  <c r="Q158" i="9"/>
  <c r="P158" i="9"/>
  <c r="P157" i="9"/>
  <c r="Q157" i="9"/>
  <c r="Q156" i="9"/>
  <c r="K151" i="9"/>
  <c r="N148" i="9"/>
  <c r="Q146" i="9"/>
  <c r="P146" i="9"/>
  <c r="L231" i="9" s="1"/>
  <c r="M231" i="9" s="1"/>
  <c r="P139" i="9"/>
  <c r="P138" i="9"/>
  <c r="Q138" i="9"/>
  <c r="Q137" i="9"/>
  <c r="P137" i="9"/>
  <c r="Q136" i="9"/>
  <c r="P136" i="9"/>
  <c r="P135" i="9"/>
  <c r="K130" i="9"/>
  <c r="N127" i="9"/>
  <c r="L127" i="9"/>
  <c r="Q125" i="9"/>
  <c r="P125" i="9"/>
  <c r="L230" i="9" s="1"/>
  <c r="M230" i="9" s="1"/>
  <c r="P118" i="9"/>
  <c r="Q117" i="9"/>
  <c r="P117" i="9"/>
  <c r="Q116" i="9"/>
  <c r="Q115" i="9"/>
  <c r="P115" i="9"/>
  <c r="P114" i="9"/>
  <c r="K109" i="9"/>
  <c r="N106" i="9"/>
  <c r="L106" i="9"/>
  <c r="Q104" i="9"/>
  <c r="P104" i="9"/>
  <c r="L229" i="9" s="1"/>
  <c r="M229" i="9" s="1"/>
  <c r="Q97" i="9"/>
  <c r="Q96" i="9"/>
  <c r="P96" i="9"/>
  <c r="Q95" i="9"/>
  <c r="P94" i="9"/>
  <c r="K88" i="9"/>
  <c r="N85" i="9"/>
  <c r="L85" i="9"/>
  <c r="Q83" i="9"/>
  <c r="P83" i="9"/>
  <c r="L228" i="9" s="1"/>
  <c r="M228" i="9" s="1"/>
  <c r="Q76" i="9"/>
  <c r="P76" i="9"/>
  <c r="P75" i="9"/>
  <c r="Q74" i="9"/>
  <c r="P74" i="9"/>
  <c r="P73" i="9"/>
  <c r="Q72" i="9"/>
  <c r="K67" i="9"/>
  <c r="N64" i="9"/>
  <c r="L64" i="9"/>
  <c r="Q62" i="9"/>
  <c r="P62" i="9"/>
  <c r="L227" i="9" s="1"/>
  <c r="M227" i="9" s="1"/>
  <c r="Q55" i="9"/>
  <c r="P55" i="9"/>
  <c r="Q54" i="9"/>
  <c r="P53" i="9"/>
  <c r="Q51" i="9"/>
  <c r="P51" i="9"/>
  <c r="K46" i="9"/>
  <c r="Q41" i="9"/>
  <c r="P41" i="9"/>
  <c r="L226" i="9" s="1"/>
  <c r="P34" i="9"/>
  <c r="Q33" i="9"/>
  <c r="P32" i="9"/>
  <c r="Q31" i="9"/>
  <c r="P31" i="9"/>
  <c r="P30" i="9"/>
  <c r="K25" i="9"/>
  <c r="N22" i="9"/>
  <c r="L22" i="9"/>
  <c r="Q20" i="9"/>
  <c r="P20" i="9"/>
  <c r="L225" i="9" s="1"/>
  <c r="M225" i="9" s="1"/>
  <c r="Q12" i="9"/>
  <c r="P11" i="9"/>
  <c r="Q9" i="9"/>
  <c r="P9" i="9"/>
  <c r="E209" i="9"/>
  <c r="C209" i="9"/>
  <c r="E193" i="9"/>
  <c r="C193" i="9"/>
  <c r="B190" i="9"/>
  <c r="H181" i="9"/>
  <c r="G180" i="9"/>
  <c r="H180" i="9"/>
  <c r="G179" i="9"/>
  <c r="H179" i="9"/>
  <c r="H178" i="9"/>
  <c r="E175" i="9"/>
  <c r="C175" i="9"/>
  <c r="B172" i="9"/>
  <c r="E169" i="9"/>
  <c r="C169" i="9"/>
  <c r="H167" i="9"/>
  <c r="G167" i="9"/>
  <c r="E166" i="9"/>
  <c r="C166" i="9"/>
  <c r="H160" i="9"/>
  <c r="H159" i="9"/>
  <c r="G159" i="9"/>
  <c r="G158" i="9"/>
  <c r="H158" i="9"/>
  <c r="H157" i="9"/>
  <c r="E154" i="9"/>
  <c r="C154" i="9"/>
  <c r="B151" i="9"/>
  <c r="E148" i="9"/>
  <c r="C148" i="9"/>
  <c r="H146" i="9"/>
  <c r="G146" i="9"/>
  <c r="E145" i="9"/>
  <c r="C145" i="9"/>
  <c r="H139" i="9"/>
  <c r="H138" i="9"/>
  <c r="G138" i="9"/>
  <c r="G137" i="9"/>
  <c r="H137" i="9"/>
  <c r="F137" i="9"/>
  <c r="H136" i="9"/>
  <c r="E133" i="9"/>
  <c r="C133" i="9"/>
  <c r="B130" i="9"/>
  <c r="E127" i="9"/>
  <c r="C127" i="9"/>
  <c r="H125" i="9"/>
  <c r="G125" i="9"/>
  <c r="C230" i="9" s="1"/>
  <c r="D230" i="9" s="1"/>
  <c r="E124" i="9"/>
  <c r="C124" i="9"/>
  <c r="H118" i="9"/>
  <c r="H117" i="9"/>
  <c r="G117" i="9"/>
  <c r="G116" i="9"/>
  <c r="H116" i="9"/>
  <c r="H115" i="9"/>
  <c r="E112" i="9"/>
  <c r="C112" i="9"/>
  <c r="B109" i="9"/>
  <c r="E106" i="9"/>
  <c r="C106" i="9"/>
  <c r="H104" i="9"/>
  <c r="G104" i="9"/>
  <c r="C229" i="9" s="1"/>
  <c r="D229" i="9" s="1"/>
  <c r="E103" i="9"/>
  <c r="C103" i="9"/>
  <c r="H97" i="9"/>
  <c r="H96" i="9"/>
  <c r="G96" i="9"/>
  <c r="G95" i="9"/>
  <c r="H95" i="9"/>
  <c r="H94" i="9"/>
  <c r="E91" i="9"/>
  <c r="C91" i="9"/>
  <c r="B88" i="9"/>
  <c r="E85" i="9"/>
  <c r="C85" i="9"/>
  <c r="H83" i="9"/>
  <c r="G83" i="9"/>
  <c r="C228" i="9" s="1"/>
  <c r="D228" i="9" s="1"/>
  <c r="E82" i="9"/>
  <c r="C82" i="9"/>
  <c r="H76" i="9"/>
  <c r="H75" i="9"/>
  <c r="G75" i="9"/>
  <c r="G74" i="9"/>
  <c r="H74" i="9"/>
  <c r="H73" i="9"/>
  <c r="H72" i="9"/>
  <c r="E70" i="9"/>
  <c r="C70" i="9"/>
  <c r="B67" i="9"/>
  <c r="E64" i="9"/>
  <c r="C64" i="9"/>
  <c r="H62" i="9"/>
  <c r="G62" i="9"/>
  <c r="C227" i="9" s="1"/>
  <c r="D227" i="9" s="1"/>
  <c r="E61" i="9"/>
  <c r="C61" i="9"/>
  <c r="H55" i="9"/>
  <c r="H54" i="9"/>
  <c r="G54" i="9"/>
  <c r="G53" i="9"/>
  <c r="H53" i="9"/>
  <c r="H52" i="9"/>
  <c r="H51" i="9"/>
  <c r="E49" i="9"/>
  <c r="C49" i="9"/>
  <c r="B46" i="9"/>
  <c r="H41" i="9"/>
  <c r="G41" i="9"/>
  <c r="C226" i="9" s="1"/>
  <c r="D226" i="9" s="1"/>
  <c r="E40" i="9"/>
  <c r="C40" i="9"/>
  <c r="H34" i="9"/>
  <c r="H33" i="9"/>
  <c r="G33" i="9"/>
  <c r="H30" i="9"/>
  <c r="E28" i="9"/>
  <c r="C28" i="9"/>
  <c r="B25" i="9"/>
  <c r="E22" i="9"/>
  <c r="H21" i="9"/>
  <c r="H20" i="9"/>
  <c r="G20" i="9"/>
  <c r="E19" i="9"/>
  <c r="C19" i="9"/>
  <c r="H12" i="9"/>
  <c r="H11" i="9"/>
  <c r="G11" i="9"/>
  <c r="E196" i="9"/>
  <c r="H8" i="9"/>
  <c r="C232" i="9" l="1"/>
  <c r="D232" i="9" s="1"/>
  <c r="C224" i="9"/>
  <c r="L224" i="9"/>
  <c r="M224" i="9" s="1"/>
  <c r="M226" i="9"/>
  <c r="C231" i="9"/>
  <c r="D231" i="9" s="1"/>
  <c r="C225" i="9"/>
  <c r="D225" i="9" s="1"/>
  <c r="N27" i="6"/>
  <c r="C43" i="9"/>
  <c r="N43" i="9"/>
  <c r="N210" i="9"/>
  <c r="E43" i="9"/>
  <c r="E210" i="9"/>
  <c r="L43" i="9"/>
  <c r="L210" i="9"/>
  <c r="H106" i="9"/>
  <c r="C22" i="9"/>
  <c r="H22" i="9" s="1"/>
  <c r="Q21" i="9"/>
  <c r="G84" i="9"/>
  <c r="C242" i="9" s="1"/>
  <c r="D242" i="9" s="1"/>
  <c r="G63" i="9"/>
  <c r="C241" i="9" s="1"/>
  <c r="D241" i="9" s="1"/>
  <c r="G42" i="9"/>
  <c r="C240" i="9" s="1"/>
  <c r="D240" i="9" s="1"/>
  <c r="O78" i="9"/>
  <c r="O75" i="9"/>
  <c r="O74" i="9"/>
  <c r="O76" i="9"/>
  <c r="O72" i="9"/>
  <c r="O73" i="9"/>
  <c r="O99" i="9"/>
  <c r="O96" i="9"/>
  <c r="O94" i="9"/>
  <c r="O95" i="9"/>
  <c r="O97" i="9"/>
  <c r="O93" i="9"/>
  <c r="M183" i="9"/>
  <c r="M177" i="9"/>
  <c r="M179" i="9"/>
  <c r="M181" i="9"/>
  <c r="M180" i="9"/>
  <c r="M178" i="9"/>
  <c r="M14" i="9"/>
  <c r="M12" i="9"/>
  <c r="M8" i="9"/>
  <c r="M11" i="9"/>
  <c r="M10" i="9"/>
  <c r="M9" i="9"/>
  <c r="M57" i="9"/>
  <c r="M53" i="9"/>
  <c r="M51" i="9"/>
  <c r="M54" i="9"/>
  <c r="M55" i="9"/>
  <c r="M52" i="9"/>
  <c r="O57" i="9"/>
  <c r="O55" i="9"/>
  <c r="O51" i="9"/>
  <c r="O52" i="9"/>
  <c r="O53" i="9"/>
  <c r="O54" i="9"/>
  <c r="D138" i="9"/>
  <c r="F177" i="9"/>
  <c r="D180" i="9"/>
  <c r="D159" i="9"/>
  <c r="D117" i="9"/>
  <c r="F93" i="9"/>
  <c r="F74" i="9"/>
  <c r="F72" i="9"/>
  <c r="Q42" i="9"/>
  <c r="L148" i="9"/>
  <c r="Q148" i="9" s="1"/>
  <c r="P21" i="9"/>
  <c r="L239" i="9" s="1"/>
  <c r="M239" i="9" s="1"/>
  <c r="Q57" i="9"/>
  <c r="P57" i="9"/>
  <c r="Q64" i="9"/>
  <c r="P64" i="9"/>
  <c r="Q127" i="9"/>
  <c r="P127" i="9"/>
  <c r="Q169" i="9"/>
  <c r="P169" i="9"/>
  <c r="P106" i="9"/>
  <c r="Q106" i="9"/>
  <c r="Q196" i="9"/>
  <c r="P196" i="9"/>
  <c r="Q22" i="9"/>
  <c r="P22" i="9"/>
  <c r="P85" i="9"/>
  <c r="Q85" i="9"/>
  <c r="Q11" i="9"/>
  <c r="Q53" i="9"/>
  <c r="Q139" i="9"/>
  <c r="Q180" i="9"/>
  <c r="P10" i="9"/>
  <c r="Q32" i="9"/>
  <c r="P52" i="9"/>
  <c r="Q73" i="9"/>
  <c r="P93" i="9"/>
  <c r="P97" i="9"/>
  <c r="Q114" i="9"/>
  <c r="Q118" i="9"/>
  <c r="P179" i="9"/>
  <c r="P183" i="9"/>
  <c r="Q94" i="9"/>
  <c r="Q135" i="9"/>
  <c r="Q10" i="9"/>
  <c r="Q52" i="9"/>
  <c r="P72" i="9"/>
  <c r="Q93" i="9"/>
  <c r="Q178" i="9"/>
  <c r="P84" i="9"/>
  <c r="L242" i="9" s="1"/>
  <c r="M242" i="9" s="1"/>
  <c r="P116" i="9"/>
  <c r="P8" i="9"/>
  <c r="P12" i="9"/>
  <c r="Q30" i="9"/>
  <c r="Q34" i="9"/>
  <c r="P54" i="9"/>
  <c r="P63" i="9"/>
  <c r="L241" i="9" s="1"/>
  <c r="M241" i="9" s="1"/>
  <c r="Q75" i="9"/>
  <c r="Q84" i="9"/>
  <c r="P95" i="9"/>
  <c r="Q8" i="9"/>
  <c r="P33" i="9"/>
  <c r="P42" i="9"/>
  <c r="L240" i="9" s="1"/>
  <c r="Q63" i="9"/>
  <c r="P156" i="9"/>
  <c r="F114" i="9"/>
  <c r="F138" i="9"/>
  <c r="F141" i="9"/>
  <c r="F30" i="9"/>
  <c r="D95" i="9"/>
  <c r="H99" i="9"/>
  <c r="D96" i="9"/>
  <c r="G99" i="9"/>
  <c r="C260" i="9" s="1"/>
  <c r="D99" i="9"/>
  <c r="F139" i="9"/>
  <c r="D179" i="9"/>
  <c r="H183" i="9"/>
  <c r="G183" i="9"/>
  <c r="C264" i="9" s="1"/>
  <c r="D183" i="9"/>
  <c r="F117" i="9"/>
  <c r="F120" i="9"/>
  <c r="H196" i="9"/>
  <c r="G196" i="9"/>
  <c r="F36" i="9"/>
  <c r="F31" i="9"/>
  <c r="F34" i="9"/>
  <c r="F118" i="9"/>
  <c r="D158" i="9"/>
  <c r="D162" i="9"/>
  <c r="H64" i="9"/>
  <c r="G64" i="9"/>
  <c r="F96" i="9"/>
  <c r="F97" i="9"/>
  <c r="F99" i="9"/>
  <c r="H148" i="9"/>
  <c r="G148" i="9"/>
  <c r="F181" i="9"/>
  <c r="F32" i="9"/>
  <c r="H85" i="9"/>
  <c r="D137" i="9"/>
  <c r="H141" i="9"/>
  <c r="G141" i="9"/>
  <c r="C262" i="9" s="1"/>
  <c r="D141" i="9"/>
  <c r="H169" i="9"/>
  <c r="F116" i="9"/>
  <c r="F180" i="9"/>
  <c r="F183" i="9"/>
  <c r="F95" i="9"/>
  <c r="H127" i="9"/>
  <c r="G127" i="9"/>
  <c r="F135" i="9"/>
  <c r="F179" i="9"/>
  <c r="F75" i="9"/>
  <c r="F78" i="9"/>
  <c r="F33" i="9"/>
  <c r="F76" i="9"/>
  <c r="D116" i="9"/>
  <c r="H120" i="9"/>
  <c r="G120" i="9"/>
  <c r="C261" i="9" s="1"/>
  <c r="D120" i="9"/>
  <c r="D55" i="9"/>
  <c r="G10" i="9"/>
  <c r="E14" i="9"/>
  <c r="E205" i="9" s="1"/>
  <c r="G32" i="9"/>
  <c r="H42" i="9"/>
  <c r="H63" i="9"/>
  <c r="H84" i="9"/>
  <c r="D94" i="9"/>
  <c r="D115" i="9"/>
  <c r="D136" i="9"/>
  <c r="D157" i="9"/>
  <c r="D178" i="9"/>
  <c r="H32" i="9"/>
  <c r="G9" i="9"/>
  <c r="G31" i="9"/>
  <c r="F73" i="9"/>
  <c r="D93" i="9"/>
  <c r="F94" i="9"/>
  <c r="D97" i="9"/>
  <c r="D114" i="9"/>
  <c r="F115" i="9"/>
  <c r="D118" i="9"/>
  <c r="D135" i="9"/>
  <c r="F136" i="9"/>
  <c r="D139" i="9"/>
  <c r="D156" i="9"/>
  <c r="D160" i="9"/>
  <c r="D177" i="9"/>
  <c r="F178" i="9"/>
  <c r="D181" i="9"/>
  <c r="E195" i="9"/>
  <c r="E199" i="9"/>
  <c r="C14" i="9"/>
  <c r="H9" i="9"/>
  <c r="H31" i="9"/>
  <c r="G52" i="9"/>
  <c r="G73" i="9"/>
  <c r="G85" i="9"/>
  <c r="G94" i="9"/>
  <c r="G106" i="9"/>
  <c r="G115" i="9"/>
  <c r="G136" i="9"/>
  <c r="G157" i="9"/>
  <c r="G169" i="9"/>
  <c r="G178" i="9"/>
  <c r="H10" i="9"/>
  <c r="G12" i="9"/>
  <c r="G30" i="9"/>
  <c r="G34" i="9"/>
  <c r="E198" i="9"/>
  <c r="G8" i="9"/>
  <c r="G51" i="9"/>
  <c r="G55" i="9"/>
  <c r="G72" i="9"/>
  <c r="G76" i="9"/>
  <c r="G93" i="9"/>
  <c r="G97" i="9"/>
  <c r="G114" i="9"/>
  <c r="G118" i="9"/>
  <c r="G135" i="9"/>
  <c r="G139" i="9"/>
  <c r="G156" i="9"/>
  <c r="G160" i="9"/>
  <c r="G177" i="9"/>
  <c r="G181" i="9"/>
  <c r="H93" i="9"/>
  <c r="H114" i="9"/>
  <c r="H135" i="9"/>
  <c r="H156" i="9"/>
  <c r="H177" i="9"/>
  <c r="E197" i="9"/>
  <c r="L233" i="9" l="1"/>
  <c r="M233" i="9" s="1"/>
  <c r="I14" i="9"/>
  <c r="C205" i="9"/>
  <c r="C206" i="9" s="1"/>
  <c r="N32" i="6"/>
  <c r="N30" i="6" s="1"/>
  <c r="J30" i="6"/>
  <c r="L238" i="9"/>
  <c r="M238" i="9" s="1"/>
  <c r="M240" i="9"/>
  <c r="L247" i="9"/>
  <c r="N26" i="6"/>
  <c r="C238" i="9"/>
  <c r="D224" i="9"/>
  <c r="C233" i="9"/>
  <c r="H43" i="9"/>
  <c r="G22" i="9"/>
  <c r="P43" i="9"/>
  <c r="Q43" i="9"/>
  <c r="G43" i="9"/>
  <c r="P148" i="9"/>
  <c r="M36" i="9"/>
  <c r="M31" i="9"/>
  <c r="M32" i="9"/>
  <c r="M34" i="9"/>
  <c r="M30" i="9"/>
  <c r="M33" i="9"/>
  <c r="M78" i="9"/>
  <c r="M74" i="9"/>
  <c r="M73" i="9"/>
  <c r="M76" i="9"/>
  <c r="M72" i="9"/>
  <c r="M75" i="9"/>
  <c r="O141" i="9"/>
  <c r="O139" i="9"/>
  <c r="O135" i="9"/>
  <c r="O136" i="9"/>
  <c r="O137" i="9"/>
  <c r="O138" i="9"/>
  <c r="O162" i="9"/>
  <c r="O158" i="9"/>
  <c r="O156" i="9"/>
  <c r="O159" i="9"/>
  <c r="O157" i="9"/>
  <c r="O160" i="9"/>
  <c r="M162" i="9"/>
  <c r="M159" i="9"/>
  <c r="M156" i="9"/>
  <c r="M158" i="9"/>
  <c r="M157" i="9"/>
  <c r="M160" i="9"/>
  <c r="M120" i="9"/>
  <c r="M114" i="9"/>
  <c r="M116" i="9"/>
  <c r="M117" i="9"/>
  <c r="M115" i="9"/>
  <c r="M118" i="9"/>
  <c r="M141" i="9"/>
  <c r="M136" i="9"/>
  <c r="M137" i="9"/>
  <c r="M138" i="9"/>
  <c r="M135" i="9"/>
  <c r="M139" i="9"/>
  <c r="O14" i="9"/>
  <c r="O12" i="9"/>
  <c r="O8" i="9"/>
  <c r="O11" i="9"/>
  <c r="O10" i="9"/>
  <c r="O9" i="9"/>
  <c r="O183" i="9"/>
  <c r="O178" i="9"/>
  <c r="O179" i="9"/>
  <c r="O177" i="9"/>
  <c r="O181" i="9"/>
  <c r="O180" i="9"/>
  <c r="O120" i="9"/>
  <c r="O114" i="9"/>
  <c r="O115" i="9"/>
  <c r="O117" i="9"/>
  <c r="O116" i="9"/>
  <c r="O118" i="9"/>
  <c r="O36" i="9"/>
  <c r="O30" i="9"/>
  <c r="O31" i="9"/>
  <c r="O33" i="9"/>
  <c r="O34" i="9"/>
  <c r="O32" i="9"/>
  <c r="M99" i="9"/>
  <c r="M94" i="9"/>
  <c r="M97" i="9"/>
  <c r="M96" i="9"/>
  <c r="M93" i="9"/>
  <c r="M95" i="9"/>
  <c r="D51" i="9"/>
  <c r="G162" i="9"/>
  <c r="C263" i="9" s="1"/>
  <c r="F156" i="9"/>
  <c r="H162" i="9"/>
  <c r="F158" i="9"/>
  <c r="F160" i="9"/>
  <c r="F157" i="9"/>
  <c r="D73" i="9"/>
  <c r="F53" i="9"/>
  <c r="D31" i="9"/>
  <c r="D9" i="9"/>
  <c r="D10" i="9"/>
  <c r="Q141" i="9"/>
  <c r="P141" i="9"/>
  <c r="Q78" i="9"/>
  <c r="P78" i="9"/>
  <c r="P99" i="9"/>
  <c r="Q99" i="9"/>
  <c r="Q198" i="9"/>
  <c r="P198" i="9"/>
  <c r="Q120" i="9"/>
  <c r="P120" i="9"/>
  <c r="L201" i="9"/>
  <c r="L202" i="9" s="1"/>
  <c r="Q195" i="9"/>
  <c r="P195" i="9"/>
  <c r="Q197" i="9"/>
  <c r="P197" i="9"/>
  <c r="N201" i="9"/>
  <c r="N202" i="9" s="1"/>
  <c r="Q199" i="9"/>
  <c r="P199" i="9"/>
  <c r="Q183" i="9"/>
  <c r="Q36" i="9"/>
  <c r="P36" i="9"/>
  <c r="Q162" i="9"/>
  <c r="P162" i="9"/>
  <c r="Q14" i="9"/>
  <c r="P14" i="9"/>
  <c r="H199" i="9"/>
  <c r="G199" i="9"/>
  <c r="D32" i="9"/>
  <c r="F55" i="9"/>
  <c r="H198" i="9"/>
  <c r="G198" i="9"/>
  <c r="D53" i="9"/>
  <c r="H57" i="9"/>
  <c r="D54" i="9"/>
  <c r="G57" i="9"/>
  <c r="C258" i="9" s="1"/>
  <c r="D57" i="9"/>
  <c r="F54" i="9"/>
  <c r="F57" i="9"/>
  <c r="F14" i="9"/>
  <c r="F9" i="9"/>
  <c r="D74" i="9"/>
  <c r="H78" i="9"/>
  <c r="G78" i="9"/>
  <c r="C259" i="9" s="1"/>
  <c r="D78" i="9"/>
  <c r="E201" i="9"/>
  <c r="D76" i="9"/>
  <c r="F10" i="9"/>
  <c r="D75" i="9"/>
  <c r="H197" i="9"/>
  <c r="G197" i="9"/>
  <c r="H195" i="9"/>
  <c r="G195" i="9"/>
  <c r="D52" i="9"/>
  <c r="F51" i="9"/>
  <c r="D36" i="9"/>
  <c r="D34" i="9"/>
  <c r="D30" i="9"/>
  <c r="H36" i="9"/>
  <c r="G36" i="9"/>
  <c r="C257" i="9" s="1"/>
  <c r="F52" i="9"/>
  <c r="F11" i="9"/>
  <c r="D14" i="9"/>
  <c r="D12" i="9"/>
  <c r="H14" i="9"/>
  <c r="D8" i="9"/>
  <c r="G14" i="9"/>
  <c r="C256" i="9" s="1"/>
  <c r="F12" i="9"/>
  <c r="D72" i="9"/>
  <c r="F159" i="9"/>
  <c r="F162" i="9"/>
  <c r="D11" i="9"/>
  <c r="D33" i="9"/>
  <c r="F8" i="9"/>
  <c r="C255" i="9" l="1"/>
  <c r="C265" i="9" s="1"/>
  <c r="C266" i="9" s="1"/>
  <c r="E202" i="9"/>
  <c r="E206" i="9"/>
  <c r="L234" i="9"/>
  <c r="I121" i="9"/>
  <c r="I37" i="9"/>
  <c r="I79" i="9"/>
  <c r="I58" i="9"/>
  <c r="I100" i="9"/>
  <c r="I142" i="9"/>
  <c r="I15" i="9"/>
  <c r="D233" i="9"/>
  <c r="C234" i="9"/>
  <c r="L248" i="9"/>
  <c r="M247" i="9"/>
  <c r="D238" i="9"/>
  <c r="C247" i="9"/>
  <c r="M195" i="9"/>
  <c r="O198" i="9"/>
  <c r="F197" i="9"/>
  <c r="O195" i="9"/>
  <c r="M199" i="9"/>
  <c r="M197" i="9"/>
  <c r="M198" i="9"/>
  <c r="M201" i="9"/>
  <c r="M196" i="9"/>
  <c r="O201" i="9"/>
  <c r="O197" i="9"/>
  <c r="O196" i="9"/>
  <c r="O199" i="9"/>
  <c r="F199" i="9"/>
  <c r="F195" i="9"/>
  <c r="F198" i="9"/>
  <c r="D195" i="9"/>
  <c r="D197" i="9"/>
  <c r="Q201" i="9"/>
  <c r="P201" i="9"/>
  <c r="D201" i="9"/>
  <c r="H201" i="9"/>
  <c r="G201" i="9"/>
  <c r="D196" i="9"/>
  <c r="D199" i="9"/>
  <c r="F201" i="9"/>
  <c r="F196" i="9"/>
  <c r="D198" i="9"/>
  <c r="D247" i="9" l="1"/>
  <c r="C248" i="9"/>
  <c r="G72" i="7"/>
  <c r="F72" i="7"/>
  <c r="I72" i="7" l="1"/>
  <c r="F10" i="7"/>
  <c r="G10" i="7"/>
  <c r="F60" i="7" l="1"/>
  <c r="F49" i="7"/>
  <c r="F25" i="7"/>
  <c r="F12" i="7"/>
  <c r="F70" i="7"/>
  <c r="F58" i="7"/>
  <c r="F47" i="7"/>
  <c r="F23" i="7"/>
  <c r="G60" i="7" l="1"/>
  <c r="G49" i="7"/>
  <c r="G25" i="7"/>
  <c r="G12" i="7"/>
  <c r="G70" i="7"/>
  <c r="I70" i="7" s="1"/>
  <c r="G58" i="7"/>
  <c r="G47" i="7"/>
  <c r="G23" i="7"/>
  <c r="G67" i="7"/>
  <c r="G55" i="7"/>
  <c r="G44" i="7"/>
  <c r="G33" i="7"/>
  <c r="G20" i="7"/>
  <c r="G7" i="7"/>
  <c r="G11" i="7" l="1"/>
  <c r="G73" i="7"/>
  <c r="G71" i="7"/>
  <c r="G61" i="7"/>
  <c r="G59" i="7"/>
  <c r="G50" i="7"/>
  <c r="G48" i="7"/>
  <c r="G26" i="7"/>
  <c r="G24" i="7"/>
  <c r="G13" i="7"/>
  <c r="F15" i="15"/>
  <c r="D15" i="15"/>
  <c r="C15" i="15"/>
  <c r="I13" i="15"/>
  <c r="F13" i="15"/>
  <c r="C13" i="15"/>
  <c r="E9" i="15"/>
  <c r="H9" i="15"/>
  <c r="F9" i="15"/>
  <c r="D13" i="15"/>
  <c r="F67" i="7"/>
  <c r="F55" i="7"/>
  <c r="F20" i="7"/>
  <c r="F7" i="7"/>
  <c r="F73" i="7" l="1"/>
  <c r="F71" i="7"/>
  <c r="F26" i="7"/>
  <c r="F24" i="7"/>
  <c r="F11" i="7"/>
  <c r="F13" i="7"/>
  <c r="F59" i="7"/>
  <c r="F61" i="7"/>
  <c r="F9" i="14"/>
  <c r="F44" i="7"/>
  <c r="F15" i="14"/>
  <c r="F13" i="14"/>
  <c r="E9" i="14"/>
  <c r="F33" i="7"/>
  <c r="F10" i="15"/>
  <c r="G45" i="7"/>
  <c r="E10" i="15"/>
  <c r="G34" i="7"/>
  <c r="H10" i="15"/>
  <c r="G56" i="7"/>
  <c r="I15" i="15"/>
  <c r="D9" i="14"/>
  <c r="D13" i="14"/>
  <c r="D15" i="14"/>
  <c r="H9" i="14"/>
  <c r="H13" i="14"/>
  <c r="H15" i="14"/>
  <c r="I15" i="14"/>
  <c r="I13" i="14"/>
  <c r="C9" i="14"/>
  <c r="C13" i="14"/>
  <c r="C15" i="14"/>
  <c r="I9" i="14"/>
  <c r="H13" i="15"/>
  <c r="C9" i="15"/>
  <c r="H15" i="15"/>
  <c r="D9" i="15"/>
  <c r="I9" i="15"/>
  <c r="H20" i="13"/>
  <c r="H19" i="13"/>
  <c r="L25" i="6"/>
  <c r="N25" i="6"/>
  <c r="M25" i="6"/>
  <c r="J25" i="6"/>
  <c r="L20" i="13" l="1"/>
  <c r="L21" i="13" s="1"/>
  <c r="L25" i="13" s="1"/>
  <c r="L19" i="13"/>
  <c r="G57" i="7"/>
  <c r="G68" i="7"/>
  <c r="D10" i="14"/>
  <c r="F21" i="7"/>
  <c r="I10" i="14"/>
  <c r="F68" i="7"/>
  <c r="H10" i="14"/>
  <c r="F56" i="7"/>
  <c r="G46" i="7"/>
  <c r="C10" i="14"/>
  <c r="F8" i="7"/>
  <c r="G35" i="7"/>
  <c r="F48" i="7"/>
  <c r="F50" i="7"/>
  <c r="F10" i="14"/>
  <c r="F45" i="7"/>
  <c r="D10" i="15"/>
  <c r="G21" i="7"/>
  <c r="C10" i="15"/>
  <c r="G8" i="7"/>
  <c r="E10" i="14"/>
  <c r="F34" i="7"/>
  <c r="I10" i="15"/>
  <c r="H21" i="13"/>
  <c r="L24" i="13" l="1"/>
  <c r="G69" i="7"/>
  <c r="F69" i="7"/>
  <c r="F22" i="7"/>
  <c r="F35" i="7"/>
  <c r="F9" i="7"/>
  <c r="F46" i="7"/>
  <c r="F57" i="7"/>
  <c r="G9" i="7"/>
  <c r="G22" i="7"/>
  <c r="E21" i="13"/>
  <c r="D21" i="13"/>
  <c r="F21" i="13" l="1"/>
  <c r="C21" i="13"/>
  <c r="C24" i="13" s="1"/>
  <c r="K25" i="6" l="1"/>
  <c r="I21" i="13"/>
  <c r="E76" i="12" l="1"/>
  <c r="F76" i="12"/>
  <c r="F5" i="12" l="1"/>
  <c r="F22" i="12" s="1"/>
  <c r="F32" i="12" s="1"/>
  <c r="F36" i="12" s="1"/>
  <c r="E5" i="12"/>
  <c r="E22" i="12" l="1"/>
  <c r="E32" i="12" s="1"/>
  <c r="E36" i="12" s="1"/>
  <c r="E67" i="12" s="1"/>
  <c r="E71" i="12" s="1"/>
  <c r="F67" i="12"/>
  <c r="F71" i="12" s="1"/>
  <c r="D76" i="12" l="1"/>
  <c r="H76" i="12"/>
  <c r="G76" i="12"/>
  <c r="C5" i="12"/>
  <c r="C22" i="12" s="1"/>
  <c r="C32" i="12" s="1"/>
  <c r="C36" i="12" s="1"/>
  <c r="D5" i="12"/>
  <c r="D22" i="12" s="1"/>
  <c r="D32" i="12" s="1"/>
  <c r="D36" i="12" s="1"/>
  <c r="G5" i="12"/>
  <c r="G22" i="12" s="1"/>
  <c r="G32" i="12" s="1"/>
  <c r="G36" i="12" s="1"/>
  <c r="H5" i="12"/>
  <c r="H22" i="12" s="1"/>
  <c r="H32" i="12" s="1"/>
  <c r="H36" i="12" s="1"/>
  <c r="H67" i="12" l="1"/>
  <c r="H71" i="12" s="1"/>
  <c r="G67" i="12"/>
  <c r="G71" i="12" s="1"/>
  <c r="D67" i="12"/>
  <c r="D71" i="12" s="1"/>
  <c r="C67" i="12"/>
  <c r="C71" i="12" s="1"/>
  <c r="C52" i="10"/>
  <c r="D52" i="10"/>
  <c r="E52" i="10"/>
  <c r="C44" i="10"/>
  <c r="D44" i="10"/>
  <c r="E44" i="10"/>
  <c r="C35" i="10"/>
  <c r="D35" i="10"/>
  <c r="E35" i="10"/>
  <c r="C21" i="10"/>
  <c r="D21" i="10"/>
  <c r="E21" i="10"/>
  <c r="C15" i="10"/>
  <c r="D15" i="10"/>
  <c r="E15" i="10"/>
  <c r="G38" i="11"/>
  <c r="G42" i="11"/>
  <c r="G34" i="11"/>
  <c r="E41" i="11"/>
  <c r="E42" i="11"/>
  <c r="E38" i="11"/>
  <c r="E34" i="11"/>
  <c r="E7" i="22" l="1"/>
  <c r="E6" i="22"/>
  <c r="E10" i="11"/>
  <c r="E77" i="12"/>
  <c r="H44" i="10"/>
  <c r="H52" i="10"/>
  <c r="H35" i="10"/>
  <c r="F44" i="10"/>
  <c r="H21" i="10"/>
  <c r="F52" i="10"/>
  <c r="F15" i="10"/>
  <c r="F35" i="10"/>
  <c r="F21" i="10"/>
  <c r="H15" i="10"/>
  <c r="E54" i="10"/>
  <c r="E55" i="10" s="1"/>
  <c r="E23" i="10"/>
  <c r="D54" i="10"/>
  <c r="D55" i="10" s="1"/>
  <c r="D23" i="10"/>
  <c r="C54" i="10"/>
  <c r="C55" i="10" s="1"/>
  <c r="C23" i="10"/>
  <c r="G15" i="10"/>
  <c r="G21" i="10"/>
  <c r="G35" i="10"/>
  <c r="G44" i="10"/>
  <c r="G52" i="10"/>
  <c r="G41" i="11"/>
  <c r="G10" i="11"/>
  <c r="G16" i="11" s="1"/>
  <c r="F12" i="11"/>
  <c r="E3" i="22" l="1"/>
  <c r="E16" i="11"/>
  <c r="F54" i="10"/>
  <c r="F55" i="10" s="1"/>
  <c r="F23" i="10"/>
  <c r="G23" i="10"/>
  <c r="H54" i="10"/>
  <c r="H55" i="10" s="1"/>
  <c r="H23" i="10"/>
  <c r="G54" i="10"/>
  <c r="G55" i="10" s="1"/>
  <c r="E56" i="10"/>
  <c r="D56" i="10"/>
  <c r="C56" i="10"/>
  <c r="G21" i="11"/>
  <c r="G23" i="11" s="1"/>
  <c r="G28" i="11" s="1"/>
  <c r="H42" i="11"/>
  <c r="H41" i="11"/>
  <c r="G75" i="12"/>
  <c r="G77" i="12" s="1"/>
  <c r="C42" i="11"/>
  <c r="F27" i="11"/>
  <c r="C75" i="12"/>
  <c r="C77" i="12" s="1"/>
  <c r="D77" i="12"/>
  <c r="F22" i="11"/>
  <c r="G7" i="22" l="1"/>
  <c r="E4" i="22"/>
  <c r="E21" i="11"/>
  <c r="E23" i="11" s="1"/>
  <c r="G56" i="10"/>
  <c r="F56" i="10"/>
  <c r="F9" i="11"/>
  <c r="H56" i="10"/>
  <c r="F8" i="11"/>
  <c r="F20" i="11"/>
  <c r="F15" i="11"/>
  <c r="F13" i="11"/>
  <c r="F37" i="11"/>
  <c r="F19" i="11"/>
  <c r="F11" i="11"/>
  <c r="F26" i="11"/>
  <c r="F14" i="11"/>
  <c r="D41" i="11"/>
  <c r="D7" i="22" s="1"/>
  <c r="F32" i="11"/>
  <c r="D42" i="11"/>
  <c r="F33" i="11"/>
  <c r="D38" i="11"/>
  <c r="F36" i="11"/>
  <c r="H10" i="11"/>
  <c r="H38" i="11"/>
  <c r="C34" i="11"/>
  <c r="H34" i="11"/>
  <c r="D10" i="11"/>
  <c r="C10" i="11"/>
  <c r="C38" i="11"/>
  <c r="D34" i="11"/>
  <c r="D6" i="22" s="1"/>
  <c r="C41" i="11"/>
  <c r="C7" i="22" s="1"/>
  <c r="F77" i="12" l="1"/>
  <c r="G3" i="22"/>
  <c r="F42" i="11"/>
  <c r="G6" i="22"/>
  <c r="C6" i="22"/>
  <c r="D16" i="11"/>
  <c r="D3" i="22"/>
  <c r="C16" i="11"/>
  <c r="C4" i="22" s="1"/>
  <c r="C3" i="22"/>
  <c r="H16" i="11"/>
  <c r="E28" i="11"/>
  <c r="F10" i="11"/>
  <c r="F38" i="11"/>
  <c r="F34" i="11"/>
  <c r="F41" i="11"/>
  <c r="F7" i="22" l="1"/>
  <c r="F6" i="22"/>
  <c r="G4" i="22"/>
  <c r="C21" i="11"/>
  <c r="C23" i="11" s="1"/>
  <c r="F16" i="11"/>
  <c r="F3" i="22"/>
  <c r="D21" i="11"/>
  <c r="D23" i="11" s="1"/>
  <c r="D4" i="22"/>
  <c r="H21" i="11"/>
  <c r="F21" i="11" l="1"/>
  <c r="F4" i="22"/>
  <c r="H23" i="11"/>
  <c r="C28" i="11"/>
  <c r="D28" i="11"/>
  <c r="F23" i="11" l="1"/>
  <c r="H28" i="11"/>
  <c r="I41" i="11"/>
  <c r="F28" i="11" l="1"/>
  <c r="H7" i="22"/>
  <c r="I42" i="11"/>
  <c r="H77" i="12"/>
  <c r="I34" i="11"/>
  <c r="H6" i="22" l="1"/>
  <c r="I10" i="11"/>
  <c r="I38" i="11"/>
  <c r="H3" i="22" l="1"/>
  <c r="I16" i="11"/>
  <c r="H4" i="22" l="1"/>
  <c r="I21" i="11"/>
  <c r="I23" i="11" l="1"/>
  <c r="I28" i="11" l="1"/>
  <c r="G27" i="6" l="1"/>
  <c r="G26" i="6"/>
  <c r="F25" i="6"/>
  <c r="E25" i="6"/>
  <c r="D25" i="6"/>
  <c r="C25" i="6"/>
  <c r="G22" i="6"/>
  <c r="G21" i="6"/>
  <c r="F20" i="6"/>
  <c r="E20" i="6"/>
  <c r="D20" i="6"/>
  <c r="C20" i="6"/>
  <c r="G17" i="6"/>
  <c r="G16" i="6"/>
  <c r="F15" i="6"/>
  <c r="E15" i="6"/>
  <c r="D15" i="6"/>
  <c r="C15" i="6"/>
  <c r="G12" i="6"/>
  <c r="G11" i="6"/>
  <c r="F10" i="6"/>
  <c r="E10" i="6"/>
  <c r="D10" i="6"/>
  <c r="C10" i="6"/>
  <c r="G7" i="6"/>
  <c r="G6" i="6"/>
  <c r="F5" i="6"/>
  <c r="E5" i="6"/>
  <c r="D5" i="6"/>
  <c r="C5" i="6"/>
  <c r="G20" i="6" l="1"/>
  <c r="G10" i="6"/>
  <c r="G25" i="6"/>
  <c r="G5" i="6"/>
  <c r="G15" i="6"/>
  <c r="F24" i="13" l="1"/>
  <c r="C44" i="7"/>
  <c r="F25" i="13"/>
  <c r="J44" i="7" l="1"/>
  <c r="I44" i="7"/>
  <c r="C45" i="7" l="1"/>
  <c r="J45" i="7" l="1"/>
  <c r="I45" i="7"/>
  <c r="I46" i="7" s="1"/>
  <c r="C46" i="7"/>
  <c r="J46" i="7" s="1"/>
  <c r="C47" i="7"/>
  <c r="I47" i="7" s="1"/>
  <c r="I48" i="7" s="1"/>
  <c r="C48" i="7" l="1"/>
  <c r="C49" i="7"/>
  <c r="I49" i="7" s="1"/>
  <c r="I50" i="7" s="1"/>
  <c r="C50" i="7" l="1"/>
  <c r="C12" i="7" l="1"/>
  <c r="I12" i="7" s="1"/>
  <c r="H24" i="13" l="1"/>
  <c r="C55" i="7"/>
  <c r="C7" i="7"/>
  <c r="J7" i="7" l="1"/>
  <c r="I7" i="7"/>
  <c r="I13" i="7" s="1"/>
  <c r="J55" i="7"/>
  <c r="I55" i="7"/>
  <c r="C13" i="7"/>
  <c r="C25" i="13"/>
  <c r="C10" i="13" l="1"/>
  <c r="C11" i="13" l="1"/>
  <c r="C8" i="7"/>
  <c r="C10" i="7"/>
  <c r="I10" i="7" s="1"/>
  <c r="J8" i="7" l="1"/>
  <c r="I8" i="7"/>
  <c r="I9" i="7" s="1"/>
  <c r="C11" i="7"/>
  <c r="I11" i="7"/>
  <c r="C9" i="7"/>
  <c r="J9" i="7" s="1"/>
  <c r="H25" i="13"/>
  <c r="C58" i="7" l="1"/>
  <c r="I58" i="7" s="1"/>
  <c r="I59" i="7" s="1"/>
  <c r="H10" i="13"/>
  <c r="C59" i="7" l="1"/>
  <c r="H11" i="13"/>
  <c r="C56" i="7"/>
  <c r="C60" i="7"/>
  <c r="I60" i="7" s="1"/>
  <c r="I61" i="7" s="1"/>
  <c r="D25" i="13"/>
  <c r="J56" i="7" l="1"/>
  <c r="I56" i="7"/>
  <c r="I57" i="7" s="1"/>
  <c r="C61" i="7"/>
  <c r="C57" i="7"/>
  <c r="J57" i="7" s="1"/>
  <c r="D24" i="13"/>
  <c r="C20" i="7"/>
  <c r="D10" i="13"/>
  <c r="J20" i="7" l="1"/>
  <c r="I20" i="7"/>
  <c r="C25" i="7"/>
  <c r="I25" i="7" s="1"/>
  <c r="D11" i="13"/>
  <c r="C21" i="7"/>
  <c r="I26" i="7" l="1"/>
  <c r="J21" i="7"/>
  <c r="I21" i="7"/>
  <c r="I22" i="7" s="1"/>
  <c r="C22" i="7"/>
  <c r="J22" i="7" s="1"/>
  <c r="C26" i="7"/>
  <c r="C23" i="7"/>
  <c r="I23" i="7" s="1"/>
  <c r="I24" i="7" s="1"/>
  <c r="I24" i="13" l="1"/>
  <c r="C67" i="7"/>
  <c r="C24" i="7"/>
  <c r="I25" i="13"/>
  <c r="J67" i="7" l="1"/>
  <c r="I67" i="7"/>
  <c r="C71" i="7"/>
  <c r="C73" i="7"/>
  <c r="I10" i="13"/>
  <c r="I73" i="7" l="1"/>
  <c r="I71" i="7"/>
  <c r="C68" i="7"/>
  <c r="I11" i="13"/>
  <c r="J68" i="7" l="1"/>
  <c r="I68" i="7"/>
  <c r="I69" i="7" s="1"/>
  <c r="C69" i="7"/>
  <c r="J69" i="7" s="1"/>
  <c r="F80" i="9" l="1"/>
  <c r="F143" i="9"/>
  <c r="F122" i="9"/>
  <c r="H59" i="9"/>
  <c r="F59" i="9"/>
  <c r="F164" i="9"/>
  <c r="F16" i="9" l="1"/>
  <c r="H122" i="9"/>
  <c r="G122" i="9"/>
  <c r="D122" i="9"/>
  <c r="O16" i="9"/>
  <c r="H16" i="9"/>
  <c r="G16" i="9"/>
  <c r="D16" i="9"/>
  <c r="H80" i="9"/>
  <c r="G80" i="9"/>
  <c r="D80" i="9"/>
  <c r="G59" i="9"/>
  <c r="D59" i="9"/>
  <c r="D38" i="9"/>
  <c r="H143" i="9"/>
  <c r="D143" i="9"/>
  <c r="G143" i="9"/>
  <c r="H164" i="9"/>
  <c r="G164" i="9"/>
  <c r="D164" i="9"/>
  <c r="E186" i="9"/>
  <c r="F38" i="9"/>
  <c r="N186" i="9"/>
  <c r="O101" i="9"/>
  <c r="O59" i="9"/>
  <c r="O143" i="9"/>
  <c r="F101" i="9"/>
  <c r="O122" i="9"/>
  <c r="O80" i="9"/>
  <c r="O38" i="9"/>
  <c r="O164" i="9"/>
  <c r="C203" i="9" l="1"/>
  <c r="C204" i="9" s="1"/>
  <c r="Q59" i="9"/>
  <c r="P59" i="9"/>
  <c r="M59" i="9"/>
  <c r="G185" i="9"/>
  <c r="C186" i="9"/>
  <c r="H185" i="9"/>
  <c r="G38" i="9"/>
  <c r="N203" i="9"/>
  <c r="N204" i="9" s="1"/>
  <c r="P38" i="9"/>
  <c r="Q38" i="9"/>
  <c r="M38" i="9"/>
  <c r="E203" i="9"/>
  <c r="E204" i="9" s="1"/>
  <c r="P80" i="9"/>
  <c r="Q80" i="9"/>
  <c r="M80" i="9"/>
  <c r="H101" i="9"/>
  <c r="D101" i="9"/>
  <c r="G101" i="9"/>
  <c r="H38" i="9"/>
  <c r="Q164" i="9"/>
  <c r="P164" i="9"/>
  <c r="M164" i="9"/>
  <c r="L186" i="9"/>
  <c r="Q185" i="9"/>
  <c r="P185" i="9"/>
  <c r="P101" i="9"/>
  <c r="Q101" i="9"/>
  <c r="M101" i="9"/>
  <c r="Q143" i="9"/>
  <c r="P143" i="9"/>
  <c r="M143" i="9"/>
  <c r="L203" i="9"/>
  <c r="L204" i="9" s="1"/>
  <c r="Q16" i="9"/>
  <c r="P16" i="9"/>
  <c r="M16" i="9"/>
  <c r="Q122" i="9"/>
  <c r="P122" i="9"/>
  <c r="M122" i="9"/>
  <c r="G203" i="9" l="1"/>
  <c r="H203" i="9"/>
  <c r="P203" i="9"/>
  <c r="Q203" i="9"/>
  <c r="G79" i="7" l="1"/>
  <c r="F79" i="7"/>
  <c r="J24" i="13" l="1"/>
  <c r="C79" i="7"/>
  <c r="J19" i="24"/>
  <c r="J9" i="14"/>
  <c r="P9" i="14" s="1"/>
  <c r="Q9" i="14" s="1"/>
  <c r="J9" i="15"/>
  <c r="P9" i="15" s="1"/>
  <c r="Q9" i="15" s="1"/>
  <c r="H81" i="7"/>
  <c r="J79" i="7" l="1"/>
  <c r="I79" i="7"/>
  <c r="J10" i="14"/>
  <c r="F80" i="7"/>
  <c r="F81" i="7" s="1"/>
  <c r="G80" i="7"/>
  <c r="J10" i="15"/>
  <c r="H83" i="7"/>
  <c r="G81" i="7" l="1"/>
  <c r="H85" i="7"/>
  <c r="J13" i="14" l="1"/>
  <c r="F82" i="7"/>
  <c r="F83" i="7" l="1"/>
  <c r="J15" i="14"/>
  <c r="F84" i="7"/>
  <c r="F85" i="7" l="1"/>
  <c r="J25" i="13" l="1"/>
  <c r="P10" i="13"/>
  <c r="Q10" i="13" s="1"/>
  <c r="J20" i="24"/>
  <c r="J10" i="24"/>
  <c r="P10" i="24" s="1"/>
  <c r="Q10" i="24" s="1"/>
  <c r="D80" i="7" l="1"/>
  <c r="D81" i="7" s="1"/>
  <c r="J21" i="24"/>
  <c r="J11" i="24"/>
  <c r="G82" i="7"/>
  <c r="J13" i="15"/>
  <c r="C80" i="7"/>
  <c r="J11" i="13"/>
  <c r="J80" i="7" l="1"/>
  <c r="I80" i="7"/>
  <c r="G83" i="7"/>
  <c r="C82" i="7"/>
  <c r="I82" i="7" s="1"/>
  <c r="C81" i="7"/>
  <c r="J81" i="7" s="1"/>
  <c r="G84" i="7"/>
  <c r="J15" i="15"/>
  <c r="I83" i="7" l="1"/>
  <c r="I81" i="7"/>
  <c r="G85" i="7"/>
  <c r="C83" i="7"/>
  <c r="C84" i="7" l="1"/>
  <c r="I84" i="7" s="1"/>
  <c r="I85" i="7" l="1"/>
  <c r="C85" i="7"/>
  <c r="E20" i="24" l="1"/>
  <c r="E25" i="13"/>
  <c r="G36" i="7" l="1"/>
  <c r="E13" i="15"/>
  <c r="G37" i="7" l="1"/>
  <c r="G38" i="7"/>
  <c r="E15" i="15"/>
  <c r="G39" i="7" l="1"/>
  <c r="F36" i="7" l="1"/>
  <c r="E13" i="14"/>
  <c r="F37" i="7" l="1"/>
  <c r="F38" i="7"/>
  <c r="E15" i="14"/>
  <c r="F39" i="7" l="1"/>
  <c r="E10" i="13" l="1"/>
  <c r="E24" i="13"/>
  <c r="C33" i="7"/>
  <c r="E19" i="24"/>
  <c r="J33" i="7" l="1"/>
  <c r="I33" i="7"/>
  <c r="E11" i="13"/>
  <c r="C34" i="7"/>
  <c r="J34" i="7" l="1"/>
  <c r="I34" i="7"/>
  <c r="I35" i="7" s="1"/>
  <c r="C35" i="7"/>
  <c r="J35" i="7" s="1"/>
  <c r="C36" i="7"/>
  <c r="I36" i="7" s="1"/>
  <c r="I37" i="7" s="1"/>
  <c r="C37" i="7" l="1"/>
  <c r="C38" i="7" l="1"/>
  <c r="I38" i="7" s="1"/>
  <c r="I39" i="7" s="1"/>
  <c r="C39" i="7" l="1"/>
</calcChain>
</file>

<file path=xl/sharedStrings.xml><?xml version="1.0" encoding="utf-8"?>
<sst xmlns="http://schemas.openxmlformats.org/spreadsheetml/2006/main" count="1123" uniqueCount="326">
  <si>
    <t>Choose Currency:</t>
  </si>
  <si>
    <t>Investor Relations Contacts</t>
  </si>
  <si>
    <t>Nicolas Sibuet</t>
  </si>
  <si>
    <t>Chief Financial Officer</t>
  </si>
  <si>
    <t>InvestorRelations@aramex.com</t>
  </si>
  <si>
    <t>Anca Cighi</t>
  </si>
  <si>
    <t>Investor Relations Officer</t>
  </si>
  <si>
    <t>anca@aramex.com</t>
  </si>
  <si>
    <t>Aramex Data Book Contents</t>
  </si>
  <si>
    <t>Income Statement</t>
  </si>
  <si>
    <t>Balance Sheet</t>
  </si>
  <si>
    <t xml:space="preserve">Cashflow and Capex </t>
  </si>
  <si>
    <t xml:space="preserve">Aramex Courier Product </t>
  </si>
  <si>
    <t>Aramex Freight Product</t>
  </si>
  <si>
    <t>Aramex Logistics Product</t>
  </si>
  <si>
    <t>Regional Breakdown</t>
  </si>
  <si>
    <t>Historic Product Breakdown Key Financials</t>
  </si>
  <si>
    <t xml:space="preserve">Historic Express Volume Data </t>
  </si>
  <si>
    <t xml:space="preserve">Income statement </t>
  </si>
  <si>
    <t>Growth</t>
  </si>
  <si>
    <t>Q1 2021</t>
  </si>
  <si>
    <t>Q2 2021</t>
  </si>
  <si>
    <t>Q3 2021</t>
  </si>
  <si>
    <t>Q4 2021</t>
  </si>
  <si>
    <t>2021</t>
  </si>
  <si>
    <t>Q1 2022</t>
  </si>
  <si>
    <t>Q2 2022</t>
  </si>
  <si>
    <t>%</t>
  </si>
  <si>
    <t xml:space="preserve">Continuing operations </t>
  </si>
  <si>
    <t xml:space="preserve"> Rendering of services </t>
  </si>
  <si>
    <t xml:space="preserve"> Cost of services </t>
  </si>
  <si>
    <t>Gross Profit</t>
  </si>
  <si>
    <t xml:space="preserve"> Selling and marketing expenses</t>
  </si>
  <si>
    <t xml:space="preserve"> Net impairment loss on accounts receivable </t>
  </si>
  <si>
    <t xml:space="preserve"> Administrative expenses </t>
  </si>
  <si>
    <t xml:space="preserve"> Net Gain/(loss) on property damages and customer goods </t>
  </si>
  <si>
    <t xml:space="preserve"> Other income/-net</t>
  </si>
  <si>
    <t xml:space="preserve">Operating profit </t>
  </si>
  <si>
    <t xml:space="preserve"> Finance income</t>
  </si>
  <si>
    <t xml:space="preserve"> Finance expense</t>
  </si>
  <si>
    <t xml:space="preserve"> Share of results of joint ventures and associates </t>
  </si>
  <si>
    <t>Profit before tax from continuing operations</t>
  </si>
  <si>
    <t xml:space="preserve"> Income Tax</t>
  </si>
  <si>
    <t>Profit for the year from Continuing Operations</t>
  </si>
  <si>
    <t>Discontinued Operations</t>
  </si>
  <si>
    <t xml:space="preserve"> Profit after tax for the year from discontinued operations</t>
  </si>
  <si>
    <t xml:space="preserve"> Gain on sale of subsidiary </t>
  </si>
  <si>
    <t>Profit for the period</t>
  </si>
  <si>
    <t>Attributable to:</t>
  </si>
  <si>
    <t xml:space="preserve"> Equity holders of the parent </t>
  </si>
  <si>
    <t xml:space="preserve"> Profit for the year from continuing operations</t>
  </si>
  <si>
    <t xml:space="preserve"> Profit for the year  from discontinuing operations</t>
  </si>
  <si>
    <t xml:space="preserve">Non -controlling interest </t>
  </si>
  <si>
    <t xml:space="preserve"> Profit of the year from continuing operations</t>
  </si>
  <si>
    <t xml:space="preserve"> Profit of the year from discontinuing operations</t>
  </si>
  <si>
    <t>Earnings per share attributable to the equity holders of the parent:</t>
  </si>
  <si>
    <t xml:space="preserve"> Basic and diluted earnings per share from continuing operation </t>
  </si>
  <si>
    <t xml:space="preserve"> Basic and diluted earnings per share from discontinuing operation </t>
  </si>
  <si>
    <t>Dividends</t>
  </si>
  <si>
    <t xml:space="preserve">Dividends % of capital </t>
  </si>
  <si>
    <t xml:space="preserve">Dividends payout ratio </t>
  </si>
  <si>
    <t>Dividend per share (AED)</t>
  </si>
  <si>
    <t xml:space="preserve">Balance sheet </t>
  </si>
  <si>
    <t>Assets</t>
  </si>
  <si>
    <t>Q1'21</t>
  </si>
  <si>
    <t>Q2'21</t>
  </si>
  <si>
    <t>Q3'21</t>
  </si>
  <si>
    <t>Q4'21</t>
  </si>
  <si>
    <t>Q1'22</t>
  </si>
  <si>
    <t>Q2'22</t>
  </si>
  <si>
    <t xml:space="preserve"> Non-current assets </t>
  </si>
  <si>
    <t xml:space="preserve">  Property and equipment </t>
  </si>
  <si>
    <t xml:space="preserve">  Right of use assets </t>
  </si>
  <si>
    <t xml:space="preserve">  Goodwill </t>
  </si>
  <si>
    <t xml:space="preserve">  Other intangible assets </t>
  </si>
  <si>
    <t xml:space="preserve">  Investment in joint ventures and associates </t>
  </si>
  <si>
    <t xml:space="preserve">  Financial assets at fair value through  other comprehensive income </t>
  </si>
  <si>
    <t xml:space="preserve">  Deferred tax assets </t>
  </si>
  <si>
    <t xml:space="preserve">  Other non- current assets </t>
  </si>
  <si>
    <t xml:space="preserve"> Current assets </t>
  </si>
  <si>
    <t xml:space="preserve">  Account receivable , net </t>
  </si>
  <si>
    <t xml:space="preserve">  Other current assets </t>
  </si>
  <si>
    <t xml:space="preserve">  Restricted cash , margins and fixed deposits </t>
  </si>
  <si>
    <t xml:space="preserve">  Cash and cash equivalents </t>
  </si>
  <si>
    <t xml:space="preserve">Asset held for sale </t>
  </si>
  <si>
    <t xml:space="preserve">Total Assets </t>
  </si>
  <si>
    <t xml:space="preserve">Equity and liabilities </t>
  </si>
  <si>
    <t xml:space="preserve"> Share capital </t>
  </si>
  <si>
    <t xml:space="preserve"> Statutory reserve </t>
  </si>
  <si>
    <t xml:space="preserve"> Foreign currency translation reserve </t>
  </si>
  <si>
    <t xml:space="preserve"> Reserve arising from acquisition of non -controlling interest </t>
  </si>
  <si>
    <t xml:space="preserve"> Reserve arising from other comprehensive income items </t>
  </si>
  <si>
    <t xml:space="preserve"> Retained earnings </t>
  </si>
  <si>
    <t xml:space="preserve">Equity attributable to equity holders of the parent </t>
  </si>
  <si>
    <t xml:space="preserve"> Non-controlling interests </t>
  </si>
  <si>
    <t xml:space="preserve">Total Equity </t>
  </si>
  <si>
    <t xml:space="preserve">Liabilities </t>
  </si>
  <si>
    <t xml:space="preserve"> Non- current liabilities </t>
  </si>
  <si>
    <t xml:space="preserve">  Interset - bearing loans and borrowings </t>
  </si>
  <si>
    <t xml:space="preserve">  Lease liabilities </t>
  </si>
  <si>
    <t xml:space="preserve">  Employee's end of service benefits </t>
  </si>
  <si>
    <t xml:space="preserve">  Deferred tax liabitlities </t>
  </si>
  <si>
    <t xml:space="preserve">  Deferred income </t>
  </si>
  <si>
    <t xml:space="preserve">Current liabilities </t>
  </si>
  <si>
    <t xml:space="preserve">  Account payable </t>
  </si>
  <si>
    <t xml:space="preserve">  Bank overdrafts </t>
  </si>
  <si>
    <t xml:space="preserve">  Interest bearing loans and borrowings </t>
  </si>
  <si>
    <t xml:space="preserve">  Income Tax provsion </t>
  </si>
  <si>
    <t xml:space="preserve">  Other current liabilities </t>
  </si>
  <si>
    <t xml:space="preserve">Laibilities for sale </t>
  </si>
  <si>
    <t xml:space="preserve">Total liabilities </t>
  </si>
  <si>
    <t xml:space="preserve">Total Equity and liabilities </t>
  </si>
  <si>
    <t>OPERATING ACTIVITIES</t>
  </si>
  <si>
    <t>Profit before  tax from continuing operations</t>
  </si>
  <si>
    <t>Profit before  tax from discontinuing operations</t>
  </si>
  <si>
    <t>Profit before tax</t>
  </si>
  <si>
    <t>Adjustment for:</t>
  </si>
  <si>
    <t>Depreciation of property and equipment</t>
  </si>
  <si>
    <t>Depreciation of right of use assets</t>
  </si>
  <si>
    <t>Amortization of other intangible assets</t>
  </si>
  <si>
    <t xml:space="preserve"> Provision for employees’ end of service benefits</t>
  </si>
  <si>
    <t xml:space="preserve"> Net impairment loss on financial assets</t>
  </si>
  <si>
    <t xml:space="preserve"> Finance costs, net</t>
  </si>
  <si>
    <t xml:space="preserve"> Finance costs – lease liability</t>
  </si>
  <si>
    <t xml:space="preserve"> Share of results of joint ventures and associates</t>
  </si>
  <si>
    <t xml:space="preserve"> Impairment of goodwill</t>
  </si>
  <si>
    <t xml:space="preserve"> (Gain)/loss on sale of property and equipment</t>
  </si>
  <si>
    <t xml:space="preserve"> Gain on sale of a subsidiary</t>
  </si>
  <si>
    <t xml:space="preserve"> Gain on reversal of provision for property and customer goods</t>
  </si>
  <si>
    <t>Working capital adjustments:</t>
  </si>
  <si>
    <t xml:space="preserve"> Accounts receivable</t>
  </si>
  <si>
    <t xml:space="preserve"> Accounts payable</t>
  </si>
  <si>
    <t xml:space="preserve"> Other current assets</t>
  </si>
  <si>
    <t xml:space="preserve"> Other current liabilities</t>
  </si>
  <si>
    <t xml:space="preserve"> Deferred income</t>
  </si>
  <si>
    <t>Net cash flows generated from operating activities before employees’ end of service benefits and income tax paid</t>
  </si>
  <si>
    <t>Employees’ end of service benefits paid</t>
  </si>
  <si>
    <t>Income tax paid</t>
  </si>
  <si>
    <t>Net cash flows generated from operating activities</t>
  </si>
  <si>
    <t>INVESTING ACTIVITIES</t>
  </si>
  <si>
    <t>Purchase of property and equipment</t>
  </si>
  <si>
    <t>Proceeds from disposal of property and equipment</t>
  </si>
  <si>
    <t xml:space="preserve">Financial assets at fair value through other comprehensive income </t>
  </si>
  <si>
    <t>Interest received</t>
  </si>
  <si>
    <t xml:space="preserve">Net cash disposed from discontinued operations </t>
  </si>
  <si>
    <t>Proceeds from sale of a subsidiary</t>
  </si>
  <si>
    <t xml:space="preserve">Purchase of intangible assets </t>
  </si>
  <si>
    <t>Dividends from joint ventures</t>
  </si>
  <si>
    <t>Acquisition of a group of assets</t>
  </si>
  <si>
    <t>Other non-current assets</t>
  </si>
  <si>
    <t>Restricted cash*</t>
  </si>
  <si>
    <t xml:space="preserve">Margin deposits and fixed deposits </t>
  </si>
  <si>
    <t>Loan granted to joint venture</t>
  </si>
  <si>
    <t>Net cash flows generated from/(used in) investing activities</t>
  </si>
  <si>
    <t>FINANCING ACTIVITIES</t>
  </si>
  <si>
    <t>Finance cost paid</t>
  </si>
  <si>
    <t>Proceeds from loans and borrowings</t>
  </si>
  <si>
    <t>Repayment of loans and borrowings</t>
  </si>
  <si>
    <t>Principal elements of lease payments</t>
  </si>
  <si>
    <t>Dividends paid to non-controlling interests</t>
  </si>
  <si>
    <t>Directors’ fees paid</t>
  </si>
  <si>
    <t>Dividends paid to shareholders</t>
  </si>
  <si>
    <t>Net cash flows used in financing activities</t>
  </si>
  <si>
    <t>NET (DECREASE)/INCREASE IN CASH AND CASH EQUIVALENTS</t>
  </si>
  <si>
    <t>Net foreign exchange difference</t>
  </si>
  <si>
    <t>Cash and cash equivalents at 1 January</t>
  </si>
  <si>
    <t>CASH AND CASH EQUIVALENTS AT 31 DECEMBER</t>
  </si>
  <si>
    <t>Mar YTD '21</t>
  </si>
  <si>
    <t>Jun YTD'21</t>
  </si>
  <si>
    <t>Sep YTD'21</t>
  </si>
  <si>
    <t>Dec YTD'21</t>
  </si>
  <si>
    <t>Mar YTD'22</t>
  </si>
  <si>
    <t>Jun YTD'22</t>
  </si>
  <si>
    <t>Revenue</t>
  </si>
  <si>
    <t>Capex</t>
  </si>
  <si>
    <t>Capex / Revenue</t>
  </si>
  <si>
    <t xml:space="preserve">Total Direct Cost </t>
  </si>
  <si>
    <t xml:space="preserve">Gross Profit </t>
  </si>
  <si>
    <t>GP%</t>
  </si>
  <si>
    <t>Selling and G&amp;A expenses</t>
  </si>
  <si>
    <t>EBIT</t>
  </si>
  <si>
    <t>EBIT%</t>
  </si>
  <si>
    <t>EBITDA</t>
  </si>
  <si>
    <t>EBITDA%</t>
  </si>
  <si>
    <t>Volumes</t>
  </si>
  <si>
    <t>DOM Express</t>
  </si>
  <si>
    <t>Int'l Express</t>
  </si>
  <si>
    <t>Total Courier Volumes</t>
  </si>
  <si>
    <t>Per shipment</t>
  </si>
  <si>
    <t>Average revenue per shipment Courier</t>
  </si>
  <si>
    <t>Average cost per shipment Courier</t>
  </si>
  <si>
    <t>MENAT</t>
  </si>
  <si>
    <t>Africa (East &amp; South)</t>
  </si>
  <si>
    <t>Europe</t>
  </si>
  <si>
    <t>America</t>
  </si>
  <si>
    <t>Oceania</t>
  </si>
  <si>
    <t>Others</t>
  </si>
  <si>
    <t>L/F # of FTL</t>
  </si>
  <si>
    <t>L/F # of LTL Kgs</t>
  </si>
  <si>
    <t>S/F # of FCL TEU</t>
  </si>
  <si>
    <t>S/F # of LCL CBM</t>
  </si>
  <si>
    <t>A/F # of Kgs</t>
  </si>
  <si>
    <t>All figures are in AED'(000)</t>
  </si>
  <si>
    <t>Actual</t>
  </si>
  <si>
    <t>VAR</t>
  </si>
  <si>
    <t>Express + SnS</t>
  </si>
  <si>
    <t>Domestic</t>
  </si>
  <si>
    <t xml:space="preserve">Freight Forwarding  </t>
  </si>
  <si>
    <t>Logistics</t>
  </si>
  <si>
    <t xml:space="preserve">Other </t>
  </si>
  <si>
    <t>Total Revenue</t>
  </si>
  <si>
    <t>Volumes are in abosulte figures- not rounded</t>
  </si>
  <si>
    <t>Gulf</t>
  </si>
  <si>
    <t>North Asia</t>
  </si>
  <si>
    <t>South Asia</t>
  </si>
  <si>
    <t>Total</t>
  </si>
  <si>
    <t xml:space="preserve">Total  Volumes </t>
  </si>
  <si>
    <t>Express +SnS</t>
  </si>
  <si>
    <t>Q1 2020</t>
  </si>
  <si>
    <t xml:space="preserve">Courier </t>
  </si>
  <si>
    <t xml:space="preserve">Freight </t>
  </si>
  <si>
    <t xml:space="preserve">Logistics </t>
  </si>
  <si>
    <t xml:space="preserve">Other Services </t>
  </si>
  <si>
    <t>Revenues</t>
  </si>
  <si>
    <t xml:space="preserve">EBIT </t>
  </si>
  <si>
    <t>Q2 2020</t>
  </si>
  <si>
    <t>Q3 2020</t>
  </si>
  <si>
    <t>Q4 2020</t>
  </si>
  <si>
    <t>1st Qrt'18</t>
  </si>
  <si>
    <t>2nd Qrt'18</t>
  </si>
  <si>
    <t>3rd Qrt'18</t>
  </si>
  <si>
    <t>4th Qrt'18</t>
  </si>
  <si>
    <t>Full year 2018</t>
  </si>
  <si>
    <t>Shipment Volumes (In Millions)</t>
  </si>
  <si>
    <t>Total Revenue International &amp; Domestic Express Revenue</t>
  </si>
  <si>
    <t>Total International &amp; Domestic Express Volume</t>
  </si>
  <si>
    <t>International Express+ SnS</t>
  </si>
  <si>
    <t>International Express</t>
  </si>
  <si>
    <t>Domestic Revenue</t>
  </si>
  <si>
    <t>Domestic Express</t>
  </si>
  <si>
    <t>1st Qrt'19</t>
  </si>
  <si>
    <t>2nd Qrt'19</t>
  </si>
  <si>
    <t>3rd Qrt'19</t>
  </si>
  <si>
    <t>4th Qrt'19</t>
  </si>
  <si>
    <t>Full year 2019</t>
  </si>
  <si>
    <t>1st Qrt'20</t>
  </si>
  <si>
    <t>2nd Qrt'20</t>
  </si>
  <si>
    <t>3rd Qrt'20</t>
  </si>
  <si>
    <t>4th Qrt'20</t>
  </si>
  <si>
    <t>Full year 2020</t>
  </si>
  <si>
    <t>1st Qrt'21</t>
  </si>
  <si>
    <t>2nd Qrt'21</t>
  </si>
  <si>
    <t>3rd Qrt'21</t>
  </si>
  <si>
    <t>4th Qrt'21</t>
  </si>
  <si>
    <t>Full year 2021</t>
  </si>
  <si>
    <t>1st Qrt'22</t>
  </si>
  <si>
    <t>2nd Qrt'22</t>
  </si>
  <si>
    <t>3rd Qrt'22</t>
  </si>
  <si>
    <t>4th Qrt'2</t>
  </si>
  <si>
    <t>Full year 2022</t>
  </si>
  <si>
    <t>Q3 2022</t>
  </si>
  <si>
    <t>Q3'22</t>
  </si>
  <si>
    <t>SepYTD'22</t>
  </si>
  <si>
    <t>Key Figures and Ratios</t>
  </si>
  <si>
    <t>Gross Profit Margin %</t>
  </si>
  <si>
    <t>EBIT %</t>
  </si>
  <si>
    <t>Net Profit Margin %</t>
  </si>
  <si>
    <t>Debt/Equity %</t>
  </si>
  <si>
    <t xml:space="preserve">EPS (AED)from continuing operation </t>
  </si>
  <si>
    <t>Express+SNS</t>
  </si>
  <si>
    <t>Average revenue per shipment Express+SNS</t>
  </si>
  <si>
    <t>Average cost per shipment Express+SNS</t>
  </si>
  <si>
    <t>Total Int'l ExpressVolumes</t>
  </si>
  <si>
    <t>DecYTD'21</t>
  </si>
  <si>
    <t>Sep YTD'22</t>
  </si>
  <si>
    <t>Average GP per shipment Express+SNS</t>
  </si>
  <si>
    <t>Mar YTD'21</t>
  </si>
  <si>
    <t>Domestic Volumes</t>
  </si>
  <si>
    <t>Express Volumes</t>
  </si>
  <si>
    <t>Q4 2022</t>
  </si>
  <si>
    <t>Q4'22</t>
  </si>
  <si>
    <t>DecYTD'22</t>
  </si>
  <si>
    <t>4th Qrt'22</t>
  </si>
  <si>
    <t>Dec YTD'22</t>
  </si>
  <si>
    <t>2022</t>
  </si>
  <si>
    <t>Payment for Acquisition of Subsidery, Net of cash aquired</t>
  </si>
  <si>
    <t>Q1 2023</t>
  </si>
  <si>
    <t>Q1'23</t>
  </si>
  <si>
    <t>Gain on disposal of right of use assets and lease liabilities</t>
  </si>
  <si>
    <t xml:space="preserve">Other Non current Liabilities </t>
  </si>
  <si>
    <t>2023 Vs 2022</t>
  </si>
  <si>
    <t>Aramex Historic Express Revenues and Volumes 2018 - 2023</t>
  </si>
  <si>
    <t>1st Qrt'23</t>
  </si>
  <si>
    <t>2nd Qrt'23</t>
  </si>
  <si>
    <t>3rd Qrt'23</t>
  </si>
  <si>
    <t>4th Qrt'23</t>
  </si>
  <si>
    <t>Full year 2023</t>
  </si>
  <si>
    <t>Mar YTD'23</t>
  </si>
  <si>
    <t xml:space="preserve"> IR Data Book 2023</t>
  </si>
  <si>
    <t>All figures are in '(000)</t>
  </si>
  <si>
    <t>Q2 2023</t>
  </si>
  <si>
    <t>Q2'23</t>
  </si>
  <si>
    <t>Jun YTD'23</t>
  </si>
  <si>
    <t>Aramex Historic Revenues by Product Segment 2020 - 2023</t>
  </si>
  <si>
    <t xml:space="preserve">Revenue </t>
  </si>
  <si>
    <t>Holding compaines</t>
  </si>
  <si>
    <t>Q3 2023</t>
  </si>
  <si>
    <t>Q3 23 vs Q3 22</t>
  </si>
  <si>
    <t>Q3'23</t>
  </si>
  <si>
    <t xml:space="preserve">Q3'23 vs Q3'22 </t>
  </si>
  <si>
    <t>Sep YTD'23 vs Sep YTD'22</t>
  </si>
  <si>
    <t>Sep YTD 2022</t>
  </si>
  <si>
    <t>Sep YTD'23</t>
  </si>
  <si>
    <t>SepYTD'23</t>
  </si>
  <si>
    <t>Q3'2022</t>
  </si>
  <si>
    <t>Q3'2023</t>
  </si>
  <si>
    <t>Sep YTD'2022</t>
  </si>
  <si>
    <t>Sep YTD'2023</t>
  </si>
  <si>
    <t>Sep YTD 2023</t>
  </si>
  <si>
    <t>Debt/Equity % (Excluding IFRS 16)</t>
  </si>
  <si>
    <t xml:space="preserve">Acquistion of non-controlling interests </t>
  </si>
  <si>
    <t>USD</t>
  </si>
  <si>
    <t>Total DOM ExpressVolumes</t>
  </si>
  <si>
    <t>Average revenue per shipment DOM</t>
  </si>
  <si>
    <t>Average cost per shipment DOM</t>
  </si>
  <si>
    <t>Average GP per shipment 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</si>
</sst>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%;[Red]\(0%\)"/>
    <numFmt numFmtId="167" formatCode="0.0%_);[Red]\(0.0%\)"/>
    <numFmt numFmtId="168" formatCode="0.0"/>
    <numFmt numFmtId="169" formatCode="#,##0;\(#,##0\)"/>
    <numFmt numFmtId="170" formatCode="0%_);[Red]\(0%\)"/>
    <numFmt numFmtId="171" formatCode="0.0%"/>
    <numFmt numFmtId="172" formatCode="0.000"/>
    <numFmt numFmtId="173" formatCode="#,##0.0_);[Red]\(#,##0.0\)"/>
    <numFmt numFmtId="174" formatCode="_(* #,##0.000_);_(* \(#,##0.000\);_(* &quot;-&quot;??_);_(@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1F497D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0000"/>
        <bgColor rgb="FF000000"/>
      </patternFill>
    </fill>
    <fill>
      <patternFill patternType="solid">
        <fgColor rgb="FFE60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7" fillId="0" borderId="0" xfId="6" applyFont="1"/>
    <xf numFmtId="9" fontId="7" fillId="0" borderId="0" xfId="2" applyFont="1"/>
    <xf numFmtId="0" fontId="8" fillId="0" borderId="0" xfId="6" applyFont="1"/>
    <xf numFmtId="164" fontId="7" fillId="0" borderId="0" xfId="6" applyNumberFormat="1" applyFont="1"/>
    <xf numFmtId="164" fontId="10" fillId="2" borderId="3" xfId="7" applyNumberFormat="1" applyFont="1" applyFill="1" applyBorder="1" applyAlignment="1">
      <alignment horizontal="left" vertical="center"/>
    </xf>
    <xf numFmtId="164" fontId="10" fillId="2" borderId="4" xfId="7" applyNumberFormat="1" applyFont="1" applyFill="1" applyBorder="1" applyAlignment="1">
      <alignment horizontal="left" vertical="center"/>
    </xf>
    <xf numFmtId="164" fontId="10" fillId="2" borderId="5" xfId="7" applyNumberFormat="1" applyFont="1" applyFill="1" applyBorder="1" applyAlignment="1">
      <alignment horizontal="left" vertical="center"/>
    </xf>
    <xf numFmtId="164" fontId="10" fillId="3" borderId="3" xfId="7" applyNumberFormat="1" applyFont="1" applyFill="1" applyBorder="1" applyAlignment="1">
      <alignment horizontal="left" vertical="center"/>
    </xf>
    <xf numFmtId="164" fontId="10" fillId="3" borderId="4" xfId="7" applyNumberFormat="1" applyFont="1" applyFill="1" applyBorder="1" applyAlignment="1">
      <alignment horizontal="left" vertical="center"/>
    </xf>
    <xf numFmtId="164" fontId="10" fillId="3" borderId="6" xfId="7" applyNumberFormat="1" applyFont="1" applyFill="1" applyBorder="1" applyAlignment="1">
      <alignment horizontal="left" vertical="center"/>
    </xf>
    <xf numFmtId="164" fontId="10" fillId="2" borderId="6" xfId="7" applyNumberFormat="1" applyFont="1" applyFill="1" applyBorder="1" applyAlignment="1">
      <alignment horizontal="left" vertical="center"/>
    </xf>
    <xf numFmtId="0" fontId="7" fillId="0" borderId="0" xfId="6" applyFont="1" applyAlignment="1">
      <alignment horizontal="center"/>
    </xf>
    <xf numFmtId="0" fontId="12" fillId="4" borderId="0" xfId="0" applyFont="1" applyFill="1"/>
    <xf numFmtId="0" fontId="11" fillId="4" borderId="0" xfId="0" applyFont="1" applyFill="1"/>
    <xf numFmtId="0" fontId="10" fillId="2" borderId="3" xfId="6" applyFont="1" applyFill="1" applyBorder="1" applyAlignment="1">
      <alignment horizontal="left" vertical="center" wrapText="1"/>
    </xf>
    <xf numFmtId="0" fontId="7" fillId="0" borderId="0" xfId="6" applyFont="1" applyAlignment="1">
      <alignment horizontal="left"/>
    </xf>
    <xf numFmtId="0" fontId="10" fillId="3" borderId="3" xfId="6" applyFont="1" applyFill="1" applyBorder="1" applyAlignment="1">
      <alignment horizontal="left" vertical="center" wrapText="1" indent="2"/>
    </xf>
    <xf numFmtId="0" fontId="10" fillId="2" borderId="3" xfId="6" applyFont="1" applyFill="1" applyBorder="1" applyAlignment="1">
      <alignment horizontal="left" vertical="center" wrapText="1" indent="2"/>
    </xf>
    <xf numFmtId="0" fontId="13" fillId="0" borderId="0" xfId="8" applyAlignment="1">
      <alignment horizontal="left" indent="1"/>
    </xf>
    <xf numFmtId="0" fontId="7" fillId="0" borderId="0" xfId="0" applyFont="1"/>
    <xf numFmtId="0" fontId="11" fillId="0" borderId="0" xfId="0" applyFont="1"/>
    <xf numFmtId="0" fontId="7" fillId="0" borderId="0" xfId="9" applyFont="1"/>
    <xf numFmtId="0" fontId="8" fillId="0" borderId="0" xfId="9" applyFont="1"/>
    <xf numFmtId="0" fontId="7" fillId="0" borderId="0" xfId="9" quotePrefix="1" applyFont="1" applyAlignment="1">
      <alignment horizontal="left"/>
    </xf>
    <xf numFmtId="0" fontId="8" fillId="0" borderId="0" xfId="9" quotePrefix="1" applyFont="1" applyAlignment="1">
      <alignment horizontal="left"/>
    </xf>
    <xf numFmtId="0" fontId="7" fillId="0" borderId="0" xfId="9" applyFont="1" applyAlignment="1">
      <alignment horizontal="left"/>
    </xf>
    <xf numFmtId="0" fontId="16" fillId="0" borderId="0" xfId="9" applyFont="1"/>
    <xf numFmtId="38" fontId="7" fillId="0" borderId="0" xfId="0" applyNumberFormat="1" applyFont="1"/>
    <xf numFmtId="38" fontId="8" fillId="0" borderId="12" xfId="9" applyNumberFormat="1" applyFont="1" applyBorder="1"/>
    <xf numFmtId="38" fontId="11" fillId="0" borderId="24" xfId="0" applyNumberFormat="1" applyFont="1" applyBorder="1"/>
    <xf numFmtId="172" fontId="7" fillId="0" borderId="0" xfId="0" applyNumberFormat="1" applyFont="1"/>
    <xf numFmtId="170" fontId="7" fillId="0" borderId="0" xfId="2" applyNumberFormat="1" applyFont="1"/>
    <xf numFmtId="170" fontId="7" fillId="0" borderId="0" xfId="0" applyNumberFormat="1" applyFont="1"/>
    <xf numFmtId="38" fontId="8" fillId="0" borderId="0" xfId="9" applyNumberFormat="1" applyFont="1"/>
    <xf numFmtId="38" fontId="7" fillId="0" borderId="11" xfId="0" applyNumberFormat="1" applyFont="1" applyBorder="1"/>
    <xf numFmtId="170" fontId="7" fillId="0" borderId="11" xfId="2" applyNumberFormat="1" applyFont="1" applyBorder="1"/>
    <xf numFmtId="38" fontId="8" fillId="0" borderId="0" xfId="0" applyNumberFormat="1" applyFont="1"/>
    <xf numFmtId="170" fontId="8" fillId="0" borderId="0" xfId="2" applyNumberFormat="1" applyFont="1"/>
    <xf numFmtId="38" fontId="8" fillId="0" borderId="24" xfId="0" applyNumberFormat="1" applyFont="1" applyBorder="1"/>
    <xf numFmtId="170" fontId="8" fillId="0" borderId="24" xfId="2" applyNumberFormat="1" applyFont="1" applyBorder="1"/>
    <xf numFmtId="0" fontId="7" fillId="0" borderId="0" xfId="0" applyFont="1" applyAlignment="1">
      <alignment wrapText="1"/>
    </xf>
    <xf numFmtId="38" fontId="11" fillId="0" borderId="25" xfId="0" applyNumberFormat="1" applyFont="1" applyBorder="1"/>
    <xf numFmtId="38" fontId="11" fillId="0" borderId="26" xfId="0" applyNumberFormat="1" applyFont="1" applyBorder="1"/>
    <xf numFmtId="38" fontId="11" fillId="0" borderId="12" xfId="0" applyNumberFormat="1" applyFont="1" applyBorder="1"/>
    <xf numFmtId="40" fontId="7" fillId="0" borderId="0" xfId="0" applyNumberFormat="1" applyFont="1"/>
    <xf numFmtId="0" fontId="18" fillId="0" borderId="0" xfId="0" applyFont="1" applyAlignment="1">
      <alignment horizontal="justify" vertical="center" wrapText="1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38" fontId="11" fillId="0" borderId="24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/>
    </xf>
    <xf numFmtId="38" fontId="7" fillId="0" borderId="0" xfId="0" applyNumberFormat="1" applyFont="1" applyAlignment="1">
      <alignment horizontal="center"/>
    </xf>
    <xf numFmtId="0" fontId="21" fillId="0" borderId="0" xfId="0" applyFont="1"/>
    <xf numFmtId="0" fontId="7" fillId="0" borderId="8" xfId="0" applyFont="1" applyBorder="1"/>
    <xf numFmtId="0" fontId="7" fillId="0" borderId="9" xfId="0" applyFont="1" applyBorder="1"/>
    <xf numFmtId="0" fontId="7" fillId="0" borderId="27" xfId="0" applyFont="1" applyBorder="1"/>
    <xf numFmtId="38" fontId="7" fillId="0" borderId="0" xfId="0" applyNumberFormat="1" applyFont="1" applyAlignment="1">
      <alignment vertical="center"/>
    </xf>
    <xf numFmtId="38" fontId="7" fillId="0" borderId="0" xfId="1" applyNumberFormat="1" applyFont="1" applyAlignment="1">
      <alignment horizontal="center" vertical="center"/>
    </xf>
    <xf numFmtId="38" fontId="11" fillId="0" borderId="12" xfId="0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22" fillId="0" borderId="0" xfId="0" applyFont="1"/>
    <xf numFmtId="0" fontId="8" fillId="0" borderId="0" xfId="0" applyFont="1"/>
    <xf numFmtId="0" fontId="14" fillId="5" borderId="0" xfId="0" applyFont="1" applyFill="1" applyAlignment="1">
      <alignment horizontal="left"/>
    </xf>
    <xf numFmtId="49" fontId="9" fillId="5" borderId="0" xfId="0" applyNumberFormat="1" applyFont="1" applyFill="1"/>
    <xf numFmtId="0" fontId="15" fillId="6" borderId="13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23" fillId="7" borderId="0" xfId="0" applyFont="1" applyFill="1" applyAlignment="1">
      <alignment horizontal="left"/>
    </xf>
    <xf numFmtId="49" fontId="24" fillId="7" borderId="0" xfId="0" applyNumberFormat="1" applyFont="1" applyFill="1" applyAlignment="1">
      <alignment horizontal="center"/>
    </xf>
    <xf numFmtId="49" fontId="25" fillId="0" borderId="0" xfId="0" applyNumberFormat="1" applyFont="1" applyAlignment="1">
      <alignment horizontal="left" indent="2"/>
    </xf>
    <xf numFmtId="0" fontId="26" fillId="0" borderId="0" xfId="0" applyFont="1"/>
    <xf numFmtId="0" fontId="26" fillId="8" borderId="0" xfId="0" applyFont="1" applyFill="1"/>
    <xf numFmtId="38" fontId="7" fillId="0" borderId="0" xfId="1" applyNumberFormat="1" applyFont="1" applyFill="1" applyBorder="1" applyAlignment="1">
      <alignment horizontal="right"/>
    </xf>
    <xf numFmtId="166" fontId="7" fillId="0" borderId="0" xfId="4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7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38" fontId="7" fillId="0" borderId="0" xfId="3" applyNumberFormat="1" applyFont="1" applyBorder="1"/>
    <xf numFmtId="38" fontId="8" fillId="0" borderId="0" xfId="3" applyNumberFormat="1" applyFont="1" applyBorder="1"/>
    <xf numFmtId="165" fontId="7" fillId="0" borderId="0" xfId="1" applyNumberFormat="1" applyFont="1"/>
    <xf numFmtId="164" fontId="7" fillId="0" borderId="0" xfId="1" applyNumberFormat="1" applyFont="1"/>
    <xf numFmtId="0" fontId="8" fillId="0" borderId="26" xfId="0" applyFont="1" applyBorder="1"/>
    <xf numFmtId="164" fontId="8" fillId="0" borderId="26" xfId="0" applyNumberFormat="1" applyFont="1" applyBorder="1"/>
    <xf numFmtId="165" fontId="7" fillId="0" borderId="0" xfId="0" applyNumberFormat="1" applyFont="1"/>
    <xf numFmtId="0" fontId="9" fillId="12" borderId="1" xfId="6" applyFont="1" applyFill="1" applyBorder="1" applyAlignment="1">
      <alignment horizontal="left" vertical="center" wrapText="1"/>
    </xf>
    <xf numFmtId="0" fontId="9" fillId="12" borderId="1" xfId="6" applyFont="1" applyFill="1" applyBorder="1" applyAlignment="1">
      <alignment horizontal="center" vertical="center" wrapText="1"/>
    </xf>
    <xf numFmtId="0" fontId="9" fillId="12" borderId="2" xfId="6" applyFont="1" applyFill="1" applyBorder="1" applyAlignment="1">
      <alignment horizontal="center" vertical="center" wrapText="1"/>
    </xf>
    <xf numFmtId="0" fontId="9" fillId="12" borderId="14" xfId="6" applyFont="1" applyFill="1" applyBorder="1" applyAlignment="1">
      <alignment horizontal="left" vertical="center"/>
    </xf>
    <xf numFmtId="0" fontId="9" fillId="12" borderId="15" xfId="6" applyFont="1" applyFill="1" applyBorder="1" applyAlignment="1">
      <alignment horizontal="center" vertical="center" wrapText="1"/>
    </xf>
    <xf numFmtId="0" fontId="9" fillId="12" borderId="16" xfId="6" applyFont="1" applyFill="1" applyBorder="1" applyAlignment="1">
      <alignment horizontal="center" vertical="center" wrapText="1"/>
    </xf>
    <xf numFmtId="0" fontId="10" fillId="10" borderId="17" xfId="6" applyFont="1" applyFill="1" applyBorder="1" applyAlignment="1">
      <alignment horizontal="left" vertical="center"/>
    </xf>
    <xf numFmtId="164" fontId="10" fillId="10" borderId="3" xfId="7" applyNumberFormat="1" applyFont="1" applyFill="1" applyBorder="1" applyAlignment="1">
      <alignment horizontal="left" vertical="center"/>
    </xf>
    <xf numFmtId="164" fontId="10" fillId="10" borderId="4" xfId="7" applyNumberFormat="1" applyFont="1" applyFill="1" applyBorder="1" applyAlignment="1">
      <alignment horizontal="left" vertical="center"/>
    </xf>
    <xf numFmtId="164" fontId="10" fillId="10" borderId="5" xfId="7" applyNumberFormat="1" applyFont="1" applyFill="1" applyBorder="1" applyAlignment="1">
      <alignment horizontal="left" vertical="center"/>
    </xf>
    <xf numFmtId="0" fontId="10" fillId="11" borderId="17" xfId="6" applyFont="1" applyFill="1" applyBorder="1" applyAlignment="1">
      <alignment horizontal="left" vertical="center" indent="2"/>
    </xf>
    <xf numFmtId="164" fontId="10" fillId="11" borderId="3" xfId="7" applyNumberFormat="1" applyFont="1" applyFill="1" applyBorder="1" applyAlignment="1">
      <alignment horizontal="left" vertical="center"/>
    </xf>
    <xf numFmtId="164" fontId="10" fillId="11" borderId="4" xfId="7" applyNumberFormat="1" applyFont="1" applyFill="1" applyBorder="1" applyAlignment="1">
      <alignment horizontal="left" vertical="center"/>
    </xf>
    <xf numFmtId="164" fontId="10" fillId="11" borderId="6" xfId="7" applyNumberFormat="1" applyFont="1" applyFill="1" applyBorder="1" applyAlignment="1">
      <alignment horizontal="left" vertical="center"/>
    </xf>
    <xf numFmtId="0" fontId="10" fillId="10" borderId="18" xfId="6" applyFont="1" applyFill="1" applyBorder="1" applyAlignment="1">
      <alignment horizontal="left" vertical="center" indent="2"/>
    </xf>
    <xf numFmtId="164" fontId="10" fillId="10" borderId="19" xfId="7" applyNumberFormat="1" applyFont="1" applyFill="1" applyBorder="1" applyAlignment="1">
      <alignment horizontal="left" vertical="center"/>
    </xf>
    <xf numFmtId="164" fontId="10" fillId="10" borderId="20" xfId="7" applyNumberFormat="1" applyFont="1" applyFill="1" applyBorder="1" applyAlignment="1">
      <alignment horizontal="left" vertical="center"/>
    </xf>
    <xf numFmtId="164" fontId="10" fillId="10" borderId="7" xfId="7" applyNumberFormat="1" applyFont="1" applyFill="1" applyBorder="1" applyAlignment="1">
      <alignment horizontal="left" vertical="center"/>
    </xf>
    <xf numFmtId="0" fontId="9" fillId="12" borderId="21" xfId="6" applyFont="1" applyFill="1" applyBorder="1" applyAlignment="1">
      <alignment horizontal="center" vertical="center" wrapText="1"/>
    </xf>
    <xf numFmtId="164" fontId="10" fillId="10" borderId="3" xfId="7" applyNumberFormat="1" applyFont="1" applyFill="1" applyBorder="1" applyAlignment="1">
      <alignment horizontal="center" vertical="center" wrapText="1"/>
    </xf>
    <xf numFmtId="164" fontId="10" fillId="10" borderId="22" xfId="7" applyNumberFormat="1" applyFont="1" applyFill="1" applyBorder="1" applyAlignment="1">
      <alignment horizontal="center" vertical="center" wrapText="1"/>
    </xf>
    <xf numFmtId="164" fontId="10" fillId="11" borderId="3" xfId="7" applyNumberFormat="1" applyFont="1" applyFill="1" applyBorder="1" applyAlignment="1">
      <alignment horizontal="center" vertical="center" wrapText="1"/>
    </xf>
    <xf numFmtId="164" fontId="10" fillId="11" borderId="22" xfId="7" applyNumberFormat="1" applyFont="1" applyFill="1" applyBorder="1" applyAlignment="1">
      <alignment horizontal="center" vertical="center" wrapText="1"/>
    </xf>
    <xf numFmtId="164" fontId="10" fillId="10" borderId="19" xfId="7" applyNumberFormat="1" applyFont="1" applyFill="1" applyBorder="1" applyAlignment="1">
      <alignment horizontal="center" vertical="center" wrapText="1"/>
    </xf>
    <xf numFmtId="164" fontId="10" fillId="10" borderId="23" xfId="7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7" fillId="12" borderId="0" xfId="0" applyFont="1" applyFill="1"/>
    <xf numFmtId="38" fontId="7" fillId="0" borderId="8" xfId="1" applyNumberFormat="1" applyFont="1" applyBorder="1"/>
    <xf numFmtId="38" fontId="7" fillId="0" borderId="9" xfId="1" applyNumberFormat="1" applyFont="1" applyBorder="1"/>
    <xf numFmtId="0" fontId="7" fillId="0" borderId="10" xfId="0" applyFont="1" applyBorder="1"/>
    <xf numFmtId="38" fontId="7" fillId="0" borderId="0" xfId="1" applyNumberFormat="1" applyFont="1" applyBorder="1"/>
    <xf numFmtId="0" fontId="14" fillId="13" borderId="0" xfId="0" applyFont="1" applyFill="1" applyAlignment="1">
      <alignment horizontal="left"/>
    </xf>
    <xf numFmtId="49" fontId="9" fillId="13" borderId="0" xfId="0" applyNumberFormat="1" applyFont="1" applyFill="1"/>
    <xf numFmtId="0" fontId="15" fillId="14" borderId="11" xfId="0" applyFont="1" applyFill="1" applyBorder="1" applyAlignment="1">
      <alignment horizontal="left"/>
    </xf>
    <xf numFmtId="49" fontId="9" fillId="13" borderId="11" xfId="0" applyNumberFormat="1" applyFont="1" applyFill="1" applyBorder="1" applyAlignment="1">
      <alignment horizontal="center"/>
    </xf>
    <xf numFmtId="49" fontId="9" fillId="13" borderId="11" xfId="0" applyNumberFormat="1" applyFont="1" applyFill="1" applyBorder="1" applyAlignment="1">
      <alignment horizontal="center" wrapText="1"/>
    </xf>
    <xf numFmtId="0" fontId="9" fillId="13" borderId="11" xfId="0" applyFont="1" applyFill="1" applyBorder="1" applyAlignment="1">
      <alignment horizontal="left"/>
    </xf>
    <xf numFmtId="0" fontId="27" fillId="0" borderId="0" xfId="0" applyFont="1"/>
    <xf numFmtId="0" fontId="30" fillId="12" borderId="0" xfId="0" applyFont="1" applyFill="1" applyAlignment="1">
      <alignment horizontal="center"/>
    </xf>
    <xf numFmtId="43" fontId="7" fillId="0" borderId="0" xfId="0" applyNumberFormat="1" applyFont="1"/>
    <xf numFmtId="0" fontId="15" fillId="6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15" borderId="0" xfId="0" applyFont="1" applyFill="1"/>
    <xf numFmtId="166" fontId="7" fillId="0" borderId="0" xfId="0" applyNumberFormat="1" applyFont="1"/>
    <xf numFmtId="9" fontId="7" fillId="0" borderId="0" xfId="2" applyFont="1" applyBorder="1" applyAlignment="1">
      <alignment horizontal="center"/>
    </xf>
    <xf numFmtId="166" fontId="7" fillId="0" borderId="0" xfId="4" applyNumberFormat="1" applyFont="1" applyBorder="1" applyAlignment="1">
      <alignment horizontal="right"/>
    </xf>
    <xf numFmtId="38" fontId="7" fillId="0" borderId="0" xfId="1" applyNumberFormat="1" applyFont="1" applyBorder="1" applyAlignment="1">
      <alignment horizontal="right"/>
    </xf>
    <xf numFmtId="38" fontId="8" fillId="0" borderId="0" xfId="1" applyNumberFormat="1" applyFont="1" applyBorder="1" applyAlignment="1">
      <alignment horizontal="right"/>
    </xf>
    <xf numFmtId="166" fontId="8" fillId="0" borderId="0" xfId="4" applyNumberFormat="1" applyFont="1" applyBorder="1" applyAlignment="1">
      <alignment horizontal="right"/>
    </xf>
    <xf numFmtId="164" fontId="7" fillId="0" borderId="0" xfId="3" applyNumberFormat="1" applyFont="1" applyBorder="1" applyAlignment="1">
      <alignment horizontal="center"/>
    </xf>
    <xf numFmtId="167" fontId="7" fillId="0" borderId="0" xfId="3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7" fillId="0" borderId="11" xfId="0" applyFont="1" applyBorder="1"/>
    <xf numFmtId="164" fontId="7" fillId="0" borderId="0" xfId="0" applyNumberFormat="1" applyFont="1"/>
    <xf numFmtId="168" fontId="7" fillId="0" borderId="0" xfId="0" applyNumberFormat="1" applyFont="1"/>
    <xf numFmtId="164" fontId="21" fillId="0" borderId="0" xfId="0" applyNumberFormat="1" applyFont="1"/>
    <xf numFmtId="164" fontId="21" fillId="0" borderId="0" xfId="1" applyNumberFormat="1" applyFont="1"/>
    <xf numFmtId="0" fontId="15" fillId="6" borderId="0" xfId="0" applyFont="1" applyFill="1" applyAlignment="1">
      <alignment horizontal="center"/>
    </xf>
    <xf numFmtId="0" fontId="7" fillId="0" borderId="28" xfId="0" applyFont="1" applyBorder="1"/>
    <xf numFmtId="164" fontId="7" fillId="0" borderId="28" xfId="1" applyNumberFormat="1" applyFont="1" applyBorder="1"/>
    <xf numFmtId="0" fontId="7" fillId="0" borderId="29" xfId="0" applyFont="1" applyBorder="1"/>
    <xf numFmtId="171" fontId="7" fillId="0" borderId="28" xfId="0" applyNumberFormat="1" applyFont="1" applyBorder="1"/>
    <xf numFmtId="0" fontId="21" fillId="0" borderId="28" xfId="0" applyFont="1" applyBorder="1"/>
    <xf numFmtId="38" fontId="7" fillId="0" borderId="27" xfId="1" applyNumberFormat="1" applyFont="1" applyBorder="1"/>
    <xf numFmtId="170" fontId="7" fillId="0" borderId="27" xfId="2" applyNumberFormat="1" applyFont="1" applyBorder="1"/>
    <xf numFmtId="170" fontId="7" fillId="0" borderId="9" xfId="2" applyNumberFormat="1" applyFont="1" applyBorder="1"/>
    <xf numFmtId="170" fontId="7" fillId="0" borderId="10" xfId="2" applyNumberFormat="1" applyFont="1" applyBorder="1"/>
    <xf numFmtId="0" fontId="31" fillId="0" borderId="0" xfId="0" applyFont="1" applyAlignment="1">
      <alignment vertical="center"/>
    </xf>
    <xf numFmtId="0" fontId="17" fillId="0" borderId="0" xfId="6" applyFont="1"/>
    <xf numFmtId="0" fontId="17" fillId="0" borderId="0" xfId="0" applyFont="1"/>
    <xf numFmtId="0" fontId="7" fillId="4" borderId="0" xfId="0" applyFont="1" applyFill="1"/>
    <xf numFmtId="0" fontId="8" fillId="15" borderId="0" xfId="0" applyFont="1" applyFill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32" fillId="0" borderId="0" xfId="8" applyFont="1" applyAlignment="1">
      <alignment horizontal="left" indent="1"/>
    </xf>
    <xf numFmtId="0" fontId="17" fillId="12" borderId="0" xfId="0" applyFont="1" applyFill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38" fontId="15" fillId="6" borderId="0" xfId="0" applyNumberFormat="1" applyFont="1" applyFill="1" applyAlignment="1">
      <alignment horizontal="center"/>
    </xf>
    <xf numFmtId="38" fontId="7" fillId="0" borderId="0" xfId="4" applyNumberFormat="1" applyFont="1" applyBorder="1" applyAlignment="1">
      <alignment horizontal="right"/>
    </xf>
    <xf numFmtId="38" fontId="7" fillId="0" borderId="0" xfId="3" applyNumberFormat="1" applyFont="1" applyBorder="1" applyAlignment="1">
      <alignment horizontal="center"/>
    </xf>
    <xf numFmtId="38" fontId="7" fillId="0" borderId="0" xfId="1" applyNumberFormat="1" applyFont="1"/>
    <xf numFmtId="38" fontId="21" fillId="0" borderId="0" xfId="0" applyNumberFormat="1" applyFont="1"/>
    <xf numFmtId="49" fontId="9" fillId="5" borderId="0" xfId="0" applyNumberFormat="1" applyFont="1" applyFill="1" applyAlignment="1">
      <alignment horizontal="center" wrapText="1"/>
    </xf>
    <xf numFmtId="0" fontId="9" fillId="14" borderId="11" xfId="0" applyFont="1" applyFill="1" applyBorder="1" applyAlignment="1">
      <alignment horizontal="left"/>
    </xf>
    <xf numFmtId="0" fontId="9" fillId="14" borderId="11" xfId="0" applyFont="1" applyFill="1" applyBorder="1" applyAlignment="1">
      <alignment horizontal="right"/>
    </xf>
    <xf numFmtId="0" fontId="8" fillId="17" borderId="0" xfId="0" applyFont="1" applyFill="1"/>
    <xf numFmtId="0" fontId="7" fillId="17" borderId="0" xfId="0" applyFont="1" applyFill="1"/>
    <xf numFmtId="49" fontId="33" fillId="16" borderId="0" xfId="0" applyNumberFormat="1" applyFont="1" applyFill="1" applyAlignment="1">
      <alignment horizontal="left"/>
    </xf>
    <xf numFmtId="49" fontId="26" fillId="0" borderId="0" xfId="0" applyNumberFormat="1" applyFont="1" applyAlignment="1">
      <alignment horizontal="left"/>
    </xf>
    <xf numFmtId="49" fontId="33" fillId="7" borderId="0" xfId="0" applyNumberFormat="1" applyFont="1" applyFill="1" applyAlignment="1">
      <alignment horizontal="left"/>
    </xf>
    <xf numFmtId="49" fontId="34" fillId="0" borderId="0" xfId="0" applyNumberFormat="1" applyFont="1" applyAlignment="1">
      <alignment horizontal="left" indent="2"/>
    </xf>
    <xf numFmtId="169" fontId="19" fillId="16" borderId="0" xfId="0" applyNumberFormat="1" applyFont="1" applyFill="1" applyAlignment="1">
      <alignment horizontal="right"/>
    </xf>
    <xf numFmtId="38" fontId="19" fillId="16" borderId="0" xfId="0" applyNumberFormat="1" applyFont="1" applyFill="1" applyAlignment="1">
      <alignment horizontal="right"/>
    </xf>
    <xf numFmtId="170" fontId="19" fillId="16" borderId="0" xfId="2" applyNumberFormat="1" applyFont="1" applyFill="1" applyBorder="1" applyAlignment="1">
      <alignment horizontal="right"/>
    </xf>
    <xf numFmtId="169" fontId="19" fillId="0" borderId="0" xfId="0" applyNumberFormat="1" applyFont="1" applyAlignment="1">
      <alignment horizontal="right"/>
    </xf>
    <xf numFmtId="38" fontId="19" fillId="0" borderId="0" xfId="0" applyNumberFormat="1" applyFont="1" applyAlignment="1">
      <alignment horizontal="right"/>
    </xf>
    <xf numFmtId="170" fontId="19" fillId="7" borderId="0" xfId="2" applyNumberFormat="1" applyFont="1" applyFill="1" applyBorder="1" applyAlignment="1">
      <alignment horizontal="right"/>
    </xf>
    <xf numFmtId="170" fontId="21" fillId="0" borderId="0" xfId="2" applyNumberFormat="1" applyFont="1" applyFill="1" applyBorder="1"/>
    <xf numFmtId="169" fontId="19" fillId="7" borderId="0" xfId="0" applyNumberFormat="1" applyFont="1" applyFill="1" applyAlignment="1">
      <alignment horizontal="right"/>
    </xf>
    <xf numFmtId="38" fontId="19" fillId="7" borderId="0" xfId="0" applyNumberFormat="1" applyFont="1" applyFill="1" applyAlignment="1">
      <alignment horizontal="right"/>
    </xf>
    <xf numFmtId="38" fontId="19" fillId="9" borderId="0" xfId="0" applyNumberFormat="1" applyFont="1" applyFill="1" applyAlignment="1">
      <alignment horizontal="right"/>
    </xf>
    <xf numFmtId="170" fontId="19" fillId="9" borderId="0" xfId="2" applyNumberFormat="1" applyFont="1" applyFill="1" applyBorder="1" applyAlignment="1">
      <alignment horizontal="right"/>
    </xf>
    <xf numFmtId="49" fontId="35" fillId="16" borderId="0" xfId="0" applyNumberFormat="1" applyFont="1" applyFill="1" applyAlignment="1">
      <alignment horizontal="left"/>
    </xf>
    <xf numFmtId="49" fontId="19" fillId="0" borderId="0" xfId="0" applyNumberFormat="1" applyFont="1" applyAlignment="1">
      <alignment horizontal="left"/>
    </xf>
    <xf numFmtId="38" fontId="19" fillId="17" borderId="0" xfId="0" applyNumberFormat="1" applyFont="1" applyFill="1" applyAlignment="1">
      <alignment horizontal="right"/>
    </xf>
    <xf numFmtId="49" fontId="35" fillId="7" borderId="0" xfId="0" applyNumberFormat="1" applyFont="1" applyFill="1" applyAlignment="1">
      <alignment horizontal="left"/>
    </xf>
    <xf numFmtId="0" fontId="19" fillId="0" borderId="0" xfId="0" applyFont="1"/>
    <xf numFmtId="0" fontId="19" fillId="8" borderId="0" xfId="0" applyFont="1" applyFill="1"/>
    <xf numFmtId="0" fontId="10" fillId="0" borderId="0" xfId="0" applyFont="1"/>
    <xf numFmtId="0" fontId="9" fillId="5" borderId="0" xfId="0" applyFont="1" applyFill="1" applyAlignment="1">
      <alignment horizontal="center"/>
    </xf>
    <xf numFmtId="2" fontId="7" fillId="0" borderId="0" xfId="0" applyNumberFormat="1" applyFont="1"/>
    <xf numFmtId="38" fontId="7" fillId="0" borderId="0" xfId="1" applyNumberFormat="1" applyFont="1" applyFill="1" applyAlignment="1">
      <alignment horizontal="center" vertical="center"/>
    </xf>
    <xf numFmtId="38" fontId="7" fillId="0" borderId="9" xfId="0" applyNumberFormat="1" applyFont="1" applyBorder="1" applyAlignment="1">
      <alignment vertical="center"/>
    </xf>
    <xf numFmtId="171" fontId="7" fillId="0" borderId="9" xfId="2" applyNumberFormat="1" applyFont="1" applyFill="1" applyBorder="1" applyAlignment="1">
      <alignment vertical="center"/>
    </xf>
    <xf numFmtId="38" fontId="7" fillId="0" borderId="8" xfId="0" applyNumberFormat="1" applyFont="1" applyBorder="1" applyAlignment="1">
      <alignment vertical="center"/>
    </xf>
    <xf numFmtId="164" fontId="7" fillId="0" borderId="0" xfId="1" applyNumberFormat="1" applyFont="1" applyBorder="1"/>
    <xf numFmtId="43" fontId="7" fillId="0" borderId="0" xfId="1" applyFont="1"/>
    <xf numFmtId="1" fontId="7" fillId="0" borderId="0" xfId="0" applyNumberFormat="1" applyFont="1"/>
    <xf numFmtId="173" fontId="7" fillId="0" borderId="0" xfId="0" applyNumberFormat="1" applyFont="1"/>
    <xf numFmtId="0" fontId="30" fillId="12" borderId="0" xfId="0" applyFont="1" applyFill="1" applyAlignment="1">
      <alignment horizontal="center" vertical="center"/>
    </xf>
    <xf numFmtId="171" fontId="7" fillId="0" borderId="0" xfId="2" applyNumberFormat="1" applyFont="1" applyFill="1"/>
    <xf numFmtId="0" fontId="36" fillId="0" borderId="0" xfId="0" applyFont="1"/>
    <xf numFmtId="10" fontId="7" fillId="0" borderId="0" xfId="0" applyNumberFormat="1" applyFont="1"/>
    <xf numFmtId="164" fontId="15" fillId="6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8" fontId="8" fillId="0" borderId="0" xfId="0" applyNumberFormat="1" applyFont="1" applyAlignment="1">
      <alignment horizontal="center"/>
    </xf>
    <xf numFmtId="0" fontId="8" fillId="0" borderId="26" xfId="0" applyFont="1" applyBorder="1" applyAlignment="1">
      <alignment horizontal="center"/>
    </xf>
    <xf numFmtId="38" fontId="8" fillId="0" borderId="26" xfId="0" applyNumberFormat="1" applyFont="1" applyBorder="1" applyAlignment="1">
      <alignment horizontal="center"/>
    </xf>
    <xf numFmtId="9" fontId="7" fillId="0" borderId="28" xfId="2" applyFont="1" applyBorder="1"/>
    <xf numFmtId="167" fontId="8" fillId="0" borderId="24" xfId="2" applyNumberFormat="1" applyFont="1" applyBorder="1"/>
    <xf numFmtId="0" fontId="10" fillId="0" borderId="8" xfId="0" applyFont="1" applyBorder="1" applyAlignment="1">
      <alignment vertical="center"/>
    </xf>
    <xf numFmtId="164" fontId="7" fillId="0" borderId="8" xfId="1" applyNumberFormat="1" applyFont="1" applyBorder="1"/>
    <xf numFmtId="164" fontId="10" fillId="0" borderId="8" xfId="1" applyNumberFormat="1" applyFont="1" applyBorder="1" applyAlignment="1">
      <alignment horizontal="right" vertical="center"/>
    </xf>
    <xf numFmtId="164" fontId="7" fillId="0" borderId="8" xfId="1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164" fontId="7" fillId="0" borderId="9" xfId="1" applyNumberFormat="1" applyFont="1" applyBorder="1"/>
    <xf numFmtId="164" fontId="10" fillId="0" borderId="9" xfId="1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164" fontId="10" fillId="0" borderId="10" xfId="1" applyNumberFormat="1" applyFont="1" applyBorder="1" applyAlignment="1">
      <alignment horizontal="right" vertical="center"/>
    </xf>
    <xf numFmtId="164" fontId="7" fillId="0" borderId="10" xfId="1" applyNumberFormat="1" applyFont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70" fontId="19" fillId="0" borderId="0" xfId="2" applyNumberFormat="1" applyFont="1" applyFill="1" applyBorder="1" applyAlignment="1">
      <alignment horizontal="right"/>
    </xf>
    <xf numFmtId="169" fontId="7" fillId="0" borderId="0" xfId="0" applyNumberFormat="1" applyFont="1"/>
    <xf numFmtId="174" fontId="7" fillId="0" borderId="0" xfId="1" applyNumberFormat="1" applyFont="1"/>
    <xf numFmtId="9" fontId="7" fillId="0" borderId="0" xfId="2" applyFont="1" applyFill="1"/>
    <xf numFmtId="3" fontId="7" fillId="0" borderId="0" xfId="0" applyNumberFormat="1" applyFont="1"/>
    <xf numFmtId="43" fontId="7" fillId="0" borderId="0" xfId="6" applyNumberFormat="1" applyFont="1"/>
    <xf numFmtId="38" fontId="8" fillId="0" borderId="0" xfId="3" applyNumberFormat="1" applyFont="1" applyFill="1" applyBorder="1"/>
    <xf numFmtId="9" fontId="7" fillId="0" borderId="0" xfId="2" applyFont="1" applyFill="1" applyBorder="1" applyAlignment="1">
      <alignment horizontal="center"/>
    </xf>
    <xf numFmtId="40" fontId="7" fillId="0" borderId="0" xfId="3" applyNumberFormat="1" applyFont="1" applyBorder="1"/>
    <xf numFmtId="0" fontId="7" fillId="0" borderId="0" xfId="2" applyNumberFormat="1" applyFont="1"/>
    <xf numFmtId="169" fontId="37" fillId="0" borderId="0" xfId="0" applyNumberFormat="1" applyFont="1" applyAlignment="1">
      <alignment horizontal="right"/>
    </xf>
    <xf numFmtId="169" fontId="38" fillId="0" borderId="0" xfId="0" applyNumberFormat="1" applyFont="1" applyAlignment="1">
      <alignment horizontal="right"/>
    </xf>
    <xf numFmtId="170" fontId="39" fillId="0" borderId="0" xfId="2" applyNumberFormat="1" applyFont="1" applyFill="1"/>
    <xf numFmtId="38" fontId="38" fillId="0" borderId="0" xfId="0" applyNumberFormat="1" applyFont="1" applyAlignment="1">
      <alignment horizontal="right"/>
    </xf>
    <xf numFmtId="38" fontId="37" fillId="0" borderId="0" xfId="0" applyNumberFormat="1" applyFont="1" applyAlignment="1">
      <alignment horizontal="right"/>
    </xf>
    <xf numFmtId="164" fontId="7" fillId="0" borderId="30" xfId="1" applyNumberFormat="1" applyFont="1" applyFill="1" applyBorder="1" applyAlignment="1">
      <alignment horizontal="right" vertical="center"/>
    </xf>
    <xf numFmtId="38" fontId="7" fillId="0" borderId="11" xfId="1" applyNumberFormat="1" applyFont="1" applyBorder="1" applyAlignment="1">
      <alignment horizontal="right"/>
    </xf>
    <xf numFmtId="166" fontId="7" fillId="0" borderId="11" xfId="4" applyNumberFormat="1" applyFont="1" applyBorder="1" applyAlignment="1">
      <alignment horizontal="right"/>
    </xf>
    <xf numFmtId="164" fontId="10" fillId="0" borderId="23" xfId="7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/>
    <xf numFmtId="164" fontId="7" fillId="0" borderId="0" xfId="3" applyNumberFormat="1" applyFont="1" applyFill="1" applyBorder="1"/>
    <xf numFmtId="164" fontId="7" fillId="0" borderId="0" xfId="3" applyNumberFormat="1" applyFont="1" applyFill="1" applyBorder="1" applyAlignment="1">
      <alignment horizontal="center"/>
    </xf>
    <xf numFmtId="38" fontId="7" fillId="0" borderId="0" xfId="3" applyNumberFormat="1" applyFont="1" applyFill="1" applyBorder="1"/>
    <xf numFmtId="38" fontId="7" fillId="0" borderId="0" xfId="3" applyNumberFormat="1" applyFont="1" applyFill="1" applyBorder="1" applyAlignment="1">
      <alignment horizontal="center"/>
    </xf>
    <xf numFmtId="49" fontId="9" fillId="13" borderId="0" xfId="0" applyNumberFormat="1" applyFont="1" applyFill="1" applyAlignment="1">
      <alignment horizontal="center" wrapText="1"/>
    </xf>
    <xf numFmtId="49" fontId="9" fillId="5" borderId="0" xfId="0" applyNumberFormat="1" applyFont="1" applyFill="1" applyAlignment="1">
      <alignment horizontal="center" wrapText="1"/>
    </xf>
    <xf numFmtId="0" fontId="30" fillId="12" borderId="0" xfId="0" applyFont="1" applyFill="1" applyAlignment="1">
      <alignment horizontal="center"/>
    </xf>
  </cellXfs>
  <cellStyles count="20">
    <cellStyle name="Comma" xfId="1" builtinId="3"/>
    <cellStyle name="Comma 12" xfId="12" xr:uid="{6B8E2544-AD03-4EF3-9780-02BD56FADD21}"/>
    <cellStyle name="Comma 2" xfId="3" xr:uid="{1A70046C-AB87-4D44-A261-1FF3B6996944}"/>
    <cellStyle name="Comma 3" xfId="7" xr:uid="{8959B3B2-B5CF-40B7-84EF-28F88E083B11}"/>
    <cellStyle name="Comma 3 2" xfId="13" xr:uid="{7F668E7A-1848-4CFB-9198-9B353AE83A8A}"/>
    <cellStyle name="Comma 3 3" xfId="15" xr:uid="{073AFA0E-1FF9-4154-BD4C-1491862C35D0}"/>
    <cellStyle name="Comma 4" xfId="18" xr:uid="{5AC73F3D-880C-4288-8490-19ABC9BA724D}"/>
    <cellStyle name="Hyperlink" xfId="8" builtinId="8"/>
    <cellStyle name="Normal" xfId="0" builtinId="0"/>
    <cellStyle name="Normal 2" xfId="6" xr:uid="{0A9740B7-A6D6-4EB3-B423-74DACB1DFF43}"/>
    <cellStyle name="Normal 2 2" xfId="9" xr:uid="{BA65F987-AB52-4DA7-B8F9-2AE3626222EE}"/>
    <cellStyle name="Normal 3" xfId="10" xr:uid="{F59DDD8A-6658-425E-B1B5-54D1F9DB1230}"/>
    <cellStyle name="Normal 3 2" xfId="11" xr:uid="{A949EDC7-FBE5-4178-A4EC-317F58DF8F07}"/>
    <cellStyle name="Normal 3 2 2" xfId="14" xr:uid="{C760FEAF-4B9F-4090-908A-A074E8DAD05A}"/>
    <cellStyle name="Normal 3 3" xfId="16" xr:uid="{4B656F10-6BC3-4E5B-BE0D-6B3F3D90EA56}"/>
    <cellStyle name="Normal 4" xfId="17" xr:uid="{809EE0BF-1352-425A-BE1D-CB60406D1939}"/>
    <cellStyle name="Percent" xfId="2" builtinId="5"/>
    <cellStyle name="Percent 2" xfId="4" xr:uid="{72395AA4-C6FE-4865-BEEC-51EAD7C4A456}"/>
    <cellStyle name="Percent 2 2" xfId="5" xr:uid="{50EAF2F7-38FB-4044-971F-6DC498595600}"/>
    <cellStyle name="Percent 3" xfId="19" xr:uid="{C41E499B-1491-4ED9-A0E1-80CE2BCC11CE}"/>
  </cellStyles>
  <dxfs count="0"/>
  <tableStyles count="1" defaultTableStyle="TableStyleMedium2" defaultPivotStyle="PivotStyleLight16">
    <tableStyle name="Invisible" pivot="0" table="0" count="0" xr9:uid="{658E5965-B96E-46E2-87FC-A24706571C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3</xdr:row>
      <xdr:rowOff>19051</xdr:rowOff>
    </xdr:from>
    <xdr:to>
      <xdr:col>12</xdr:col>
      <xdr:colOff>104775</xdr:colOff>
      <xdr:row>7</xdr:row>
      <xdr:rowOff>140913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93AFFE-ADDD-2084-3550-CD74FEADF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14750" y="504826"/>
          <a:ext cx="4800600" cy="769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2</xdr:col>
      <xdr:colOff>460748</xdr:colOff>
      <xdr:row>2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4B036F-0660-4579-905F-1C6AAC184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006" t="22984" r="3479" b="51531"/>
        <a:stretch/>
      </xdr:blipFill>
      <xdr:spPr>
        <a:xfrm>
          <a:off x="733425" y="95250"/>
          <a:ext cx="946523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6ED20-782C-4079-146D-6C1DDA619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6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94C409-DEA9-4677-B187-CB26AB5F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372B2-985B-41FB-801B-A8E272CD6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104775</xdr:rowOff>
    </xdr:from>
    <xdr:to>
      <xdr:col>1</xdr:col>
      <xdr:colOff>1200150</xdr:colOff>
      <xdr:row>2</xdr:row>
      <xdr:rowOff>114664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C8E3AB-6460-B906-E3EA-87A0D16A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0550" y="104775"/>
          <a:ext cx="1219200" cy="3908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66675</xdr:rowOff>
    </xdr:from>
    <xdr:to>
      <xdr:col>1</xdr:col>
      <xdr:colOff>1266826</xdr:colOff>
      <xdr:row>2</xdr:row>
      <xdr:rowOff>133713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130BF-0242-0BE0-C33F-7E9869AFE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7226" y="66675"/>
          <a:ext cx="1219200" cy="390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balance_sheet/2012/Aramex%20PJSC/JKT%20B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Income%20Statements/2007/Financial%20reports-Dec'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ce/docs/income_statements/2021/Adaptive%20Consolidation/05-May21%20Package%20AF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bna\AppData\Local\Microsoft\Windows\INetCache\Content.Outlook\8VJ2XP7H\12-Dec22%20Package%20AFS%20Organi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frnz/Google%20Drive/1%20Iridium%20Shared/4%20TEMPLATES/Aramex/IRIDIUM%20-%20Aramex%20Data%20Pack%202016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nr/AppData/Local/Microsoft/Windows/INetCache/Content.Outlook/XKA1CX5M/Aramex%20-%20Iridium%20additional%20first%20cut%20requir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1"/>
      <sheetName val="SCHEDULE 1"/>
      <sheetName val="Prov. fr bad debts"/>
      <sheetName val="SCHEDULE 3"/>
      <sheetName val="SCHEDULE 4"/>
      <sheetName val="SCHEDULE 5"/>
      <sheetName val="SCHEDULE 6-WH"/>
      <sheetName val="SCHEDULE 6-Normal"/>
      <sheetName val="SCHEDULE 6-Total"/>
      <sheetName val="SCHEDULE 7"/>
      <sheetName val="SCHEDULE 8"/>
      <sheetName val="SCHEDULE 9"/>
      <sheetName val="Prov-Income Tax"/>
      <sheetName val="Deffered Tax"/>
      <sheetName val="SCHEDULE 11"/>
      <sheetName val="Non-Controlling Interest"/>
      <sheetName val="Cash proceeds Entries"/>
      <sheetName val="IPC Investment in GDA"/>
    </sheetNames>
    <sheetDataSet>
      <sheetData sheetId="0">
        <row r="7">
          <cell r="D7">
            <v>77083.109845469953</v>
          </cell>
        </row>
      </sheetData>
      <sheetData sheetId="1">
        <row r="7">
          <cell r="D7">
            <v>44507.500966342086</v>
          </cell>
        </row>
      </sheetData>
      <sheetData sheetId="2">
        <row r="8">
          <cell r="B8">
            <v>128.93615613628845</v>
          </cell>
        </row>
      </sheetData>
      <sheetData sheetId="3">
        <row r="7">
          <cell r="D7">
            <v>0</v>
          </cell>
        </row>
      </sheetData>
      <sheetData sheetId="4">
        <row r="6">
          <cell r="D6">
            <v>12449.364484546995</v>
          </cell>
        </row>
      </sheetData>
      <sheetData sheetId="5">
        <row r="7">
          <cell r="E7">
            <v>17167.061812023709</v>
          </cell>
        </row>
      </sheetData>
      <sheetData sheetId="6">
        <row r="35">
          <cell r="E35">
            <v>0</v>
          </cell>
        </row>
      </sheetData>
      <sheetData sheetId="7"/>
      <sheetData sheetId="8">
        <row r="35">
          <cell r="E35">
            <v>68575.604520895358</v>
          </cell>
        </row>
      </sheetData>
      <sheetData sheetId="9">
        <row r="32">
          <cell r="F32">
            <v>0</v>
          </cell>
        </row>
      </sheetData>
      <sheetData sheetId="10">
        <row r="8">
          <cell r="F8">
            <v>1069.9674281410066</v>
          </cell>
        </row>
      </sheetData>
      <sheetData sheetId="11">
        <row r="6">
          <cell r="D6">
            <v>281.89524978831497</v>
          </cell>
        </row>
      </sheetData>
      <sheetData sheetId="12">
        <row r="7">
          <cell r="B7">
            <v>2572.4246333664778</v>
          </cell>
        </row>
      </sheetData>
      <sheetData sheetId="13">
        <row r="7">
          <cell r="B7">
            <v>-17445.203761164405</v>
          </cell>
        </row>
      </sheetData>
      <sheetData sheetId="14">
        <row r="8">
          <cell r="B8">
            <v>47664.272001323181</v>
          </cell>
        </row>
      </sheetData>
      <sheetData sheetId="15">
        <row r="4">
          <cell r="D4">
            <v>95785.394511798455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Chart Analysis"/>
      <sheetName val="data"/>
      <sheetName val="Chart data"/>
    </sheetNames>
    <sheetDataSet>
      <sheetData sheetId="0">
        <row r="30">
          <cell r="C30" t="str">
            <v>U.S Dollars</v>
          </cell>
        </row>
        <row r="33">
          <cell r="B33">
            <v>1</v>
          </cell>
        </row>
        <row r="36">
          <cell r="B36">
            <v>2</v>
          </cell>
        </row>
      </sheetData>
      <sheetData sheetId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'21 vs Bud'21-Month"/>
      <sheetName val="Act'21 vs Bud'21-QTD"/>
      <sheetName val="Act'21 vs Bud'21-YTD"/>
      <sheetName val="Act'21 vs Bud'21-Apr+May"/>
      <sheetName val="Act'21 vs Act'20-Month"/>
      <sheetName val="Act'21 vs Act'20-QTD"/>
      <sheetName val="Act'21 vs Act'20-YTD"/>
      <sheetName val="Act'21 vs Act'20-Apr+May"/>
      <sheetName val="Act'20 Month by Month"/>
      <sheetName val="Bonus Summary"/>
      <sheetName val="Act Vs last year and Bud"/>
      <sheetName val="Condensed P&amp;L"/>
      <sheetName val="Act'21 vs Bud'21-Month EBIT"/>
      <sheetName val="Act'21 vs Bud'21-QTD EBIT"/>
      <sheetName val="Act'21 vs Bud'21-YTD EBIT"/>
      <sheetName val="Act'21 vs Bud'21-Apr+May EBIT"/>
      <sheetName val="Act'21 vs Act'20-Month EBIT"/>
      <sheetName val="Act'21 vs Act'20-QTD EBIT"/>
      <sheetName val="Act'21 vs Act'20-YTD EBIT"/>
      <sheetName val="Act'21 vs Act'20-Apr+May EBIT"/>
      <sheetName val="vs Budget Template"/>
      <sheetName val="vs last year template"/>
      <sheetName val="Apr+May template"/>
      <sheetName val="2021 vs 2020 vs 19 "/>
      <sheetName val="EBITDA"/>
      <sheetName val="Bonus "/>
      <sheetName val="Commission"/>
      <sheetName val="Lease payments"/>
      <sheetName val="Ratio"/>
      <sheetName val="Report Data"/>
      <sheetName val="Report Info"/>
    </sheetNames>
    <sheetDataSet>
      <sheetData sheetId="0">
        <row r="27">
          <cell r="D27">
            <v>3025.4827060777739</v>
          </cell>
        </row>
      </sheetData>
      <sheetData sheetId="1"/>
      <sheetData sheetId="2">
        <row r="38">
          <cell r="F38">
            <v>124512.25683837317</v>
          </cell>
        </row>
      </sheetData>
      <sheetData sheetId="3"/>
      <sheetData sheetId="4">
        <row r="11">
          <cell r="D11">
            <v>58899.169033546503</v>
          </cell>
        </row>
      </sheetData>
      <sheetData sheetId="5">
        <row r="11">
          <cell r="D11">
            <v>274959.11761870037</v>
          </cell>
        </row>
      </sheetData>
      <sheetData sheetId="6">
        <row r="11">
          <cell r="D11">
            <v>309698.11971087364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E3" t="str">
            <v>May-2021</v>
          </cell>
        </row>
      </sheetData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'22 vs Act'21-Month"/>
      <sheetName val="Act'22 vs Bud'22-Month"/>
      <sheetName val="Act'22 vs Bud'22-QTD"/>
      <sheetName val="Act'22 vs Bud'22-YTD"/>
      <sheetName val="Act'22 vs Act'21-QTD"/>
      <sheetName val="Act'22 vs Act'21-YTD"/>
      <sheetName val="Act'22 Month by Month"/>
      <sheetName val="Act'22 vs Bud'22-Month EBIT"/>
      <sheetName val="Act'22 vs Bud'22-QTD EBIT"/>
      <sheetName val="Act'22 vs Bud'22-YTD EBIT"/>
      <sheetName val="Act'22 vs Act'21-Month EBIT"/>
      <sheetName val="Act'22 vs Act'21-QTD EBIT"/>
      <sheetName val="Act'22 vs Act'21-YTD EBIT"/>
      <sheetName val="Extraordinary items - split"/>
      <sheetName val="Extraordinary items"/>
      <sheetName val="Sheet1"/>
      <sheetName val="vs Budget Template"/>
      <sheetName val="vs last year template"/>
      <sheetName val="2022 vs 2021 vs 20 "/>
      <sheetName val="EBITDA"/>
      <sheetName val="BEY Impact"/>
      <sheetName val="Bonus "/>
      <sheetName val="Commission"/>
      <sheetName val="Avg Rev &amp; Cost Dec"/>
      <sheetName val="Avg Rev &amp; Cost per Month-data"/>
      <sheetName val="Other Revenue &amp; Cost Allocation"/>
      <sheetName val="FW other revenue &amp; Cost"/>
      <sheetName val="Report Data"/>
      <sheetName val="Report Info"/>
      <sheetName val="Normalizations Impact-Q4-Organi"/>
      <sheetName val="Normalizations Impact-YTD-Organ"/>
    </sheetNames>
    <sheetDataSet>
      <sheetData sheetId="0">
        <row r="28">
          <cell r="D28">
            <v>130740.88973456628</v>
          </cell>
        </row>
      </sheetData>
      <sheetData sheetId="1">
        <row r="11">
          <cell r="F11">
            <v>76745.979674528513</v>
          </cell>
        </row>
      </sheetData>
      <sheetData sheetId="2">
        <row r="11">
          <cell r="X11">
            <v>19920.774679999999</v>
          </cell>
        </row>
      </sheetData>
      <sheetData sheetId="3">
        <row r="11">
          <cell r="F11">
            <v>803901.43551965046</v>
          </cell>
        </row>
      </sheetData>
      <sheetData sheetId="4">
        <row r="11">
          <cell r="D11">
            <v>145506.69547721327</v>
          </cell>
        </row>
      </sheetData>
      <sheetData sheetId="5">
        <row r="11">
          <cell r="D11">
            <v>592420.63642031956</v>
          </cell>
        </row>
      </sheetData>
      <sheetData sheetId="6" refreshError="1"/>
      <sheetData sheetId="7">
        <row r="29">
          <cell r="D29">
            <v>130740.88973456628</v>
          </cell>
        </row>
      </sheetData>
      <sheetData sheetId="8">
        <row r="8">
          <cell r="D8" t="str">
            <v>For 3 months ended</v>
          </cell>
        </row>
      </sheetData>
      <sheetData sheetId="9">
        <row r="8">
          <cell r="D8" t="str">
            <v>For the period ended</v>
          </cell>
        </row>
      </sheetData>
      <sheetData sheetId="10">
        <row r="3">
          <cell r="B3" t="str">
            <v>Actual 2022 vs. 2021</v>
          </cell>
        </row>
      </sheetData>
      <sheetData sheetId="11" refreshError="1"/>
      <sheetData sheetId="12" refreshError="1"/>
      <sheetData sheetId="13" refreshError="1"/>
      <sheetData sheetId="14">
        <row r="88">
          <cell r="C88">
            <v>6719.9667047156163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R9">
            <v>62.701700000000002</v>
          </cell>
        </row>
      </sheetData>
      <sheetData sheetId="26">
        <row r="20">
          <cell r="R20">
            <v>11869.225800153165</v>
          </cell>
        </row>
      </sheetData>
      <sheetData sheetId="27">
        <row r="7">
          <cell r="F7">
            <v>635014826.09339154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Rat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ITDA"/>
      <sheetName val="Minorities &amp; Disc Ops"/>
      <sheetName val="Geographic Ownership"/>
      <sheetName val="Underlying P&amp;L"/>
      <sheetName val="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3.6726000000000001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325B-E0D0-464D-8BAD-9986BD29D38E}">
  <dimension ref="A1:BI50"/>
  <sheetViews>
    <sheetView showGridLines="0" tabSelected="1" zoomScaleNormal="100" workbookViewId="0">
      <selection activeCell="N12" sqref="N12"/>
    </sheetView>
  </sheetViews>
  <sheetFormatPr defaultColWidth="9.140625" defaultRowHeight="12.75" x14ac:dyDescent="0.2"/>
  <cols>
    <col min="1" max="2" width="9.140625" style="20"/>
    <col min="3" max="3" width="25.5703125" style="20" bestFit="1" customWidth="1"/>
    <col min="4" max="16384" width="9.140625" style="20"/>
  </cols>
  <sheetData>
    <row r="1" spans="1:61" x14ac:dyDescent="0.2">
      <c r="A1" s="163">
        <v>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</row>
    <row r="2" spans="1:61" x14ac:dyDescent="0.2">
      <c r="A2" s="163">
        <f>1/3.6726</f>
        <v>0.27228666339922669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</row>
    <row r="3" spans="1:61" x14ac:dyDescent="0.2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</row>
    <row r="4" spans="1:61" x14ac:dyDescent="0.2">
      <c r="A4" s="163" t="str">
        <f>B5</f>
        <v>USD</v>
      </c>
      <c r="B4" s="165" t="s">
        <v>0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</row>
    <row r="5" spans="1:61" x14ac:dyDescent="0.2">
      <c r="A5" s="163">
        <f>IF(B5="AED",A1,A2)</f>
        <v>0.27228666339922669</v>
      </c>
      <c r="B5" s="164" t="s">
        <v>321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</row>
    <row r="6" spans="1:61" x14ac:dyDescent="0.2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</row>
    <row r="7" spans="1:61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</row>
    <row r="8" spans="1:61" x14ac:dyDescent="0.2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</row>
    <row r="9" spans="1:61" x14ac:dyDescent="0.2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</row>
    <row r="10" spans="1:61" ht="51" x14ac:dyDescent="0.75">
      <c r="A10" s="164"/>
      <c r="B10" s="164"/>
      <c r="C10" s="164"/>
      <c r="D10" s="164"/>
      <c r="E10" s="164"/>
      <c r="F10" s="13" t="s">
        <v>298</v>
      </c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</row>
    <row r="11" spans="1:61" x14ac:dyDescent="0.2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</row>
    <row r="12" spans="1:61" x14ac:dyDescent="0.2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</row>
    <row r="13" spans="1:61" x14ac:dyDescent="0.2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</row>
    <row r="14" spans="1:61" x14ac:dyDescent="0.2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</row>
    <row r="15" spans="1:61" ht="15" x14ac:dyDescent="0.25">
      <c r="A15" s="164"/>
      <c r="B15" s="164"/>
      <c r="C15" s="14" t="s">
        <v>1</v>
      </c>
      <c r="D15" s="14"/>
      <c r="E15" s="14"/>
      <c r="F15" s="14"/>
      <c r="G15" s="14"/>
      <c r="H15" s="1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</row>
    <row r="16" spans="1:61" ht="15" x14ac:dyDescent="0.25">
      <c r="A16" s="164"/>
      <c r="B16" s="164"/>
      <c r="C16" s="14" t="s">
        <v>2</v>
      </c>
      <c r="D16" s="14" t="s">
        <v>3</v>
      </c>
      <c r="E16" s="14"/>
      <c r="F16" s="14"/>
      <c r="G16" s="14"/>
      <c r="H16" s="14" t="s">
        <v>4</v>
      </c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</row>
    <row r="17" spans="1:61" ht="15" x14ac:dyDescent="0.25">
      <c r="A17" s="164"/>
      <c r="B17" s="164"/>
      <c r="C17" s="14" t="s">
        <v>5</v>
      </c>
      <c r="D17" s="14" t="s">
        <v>6</v>
      </c>
      <c r="E17" s="14"/>
      <c r="F17" s="14"/>
      <c r="G17" s="14"/>
      <c r="H17" s="14" t="s">
        <v>7</v>
      </c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</row>
    <row r="18" spans="1:61" ht="15" x14ac:dyDescent="0.25">
      <c r="A18" s="164"/>
      <c r="B18" s="164"/>
      <c r="C18" s="14"/>
      <c r="D18" s="14"/>
      <c r="E18" s="14"/>
      <c r="F18" s="14"/>
      <c r="G18" s="14"/>
      <c r="H18" s="1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</row>
    <row r="19" spans="1:61" ht="15" x14ac:dyDescent="0.25">
      <c r="A19" s="164"/>
      <c r="B19" s="164"/>
      <c r="C19" s="14"/>
      <c r="D19" s="14"/>
      <c r="E19" s="14"/>
      <c r="F19" s="14"/>
      <c r="G19" s="14"/>
      <c r="H19" s="1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</row>
    <row r="20" spans="1:61" ht="15" x14ac:dyDescent="0.25">
      <c r="A20" s="164"/>
      <c r="B20" s="164"/>
      <c r="C20" s="14"/>
      <c r="D20" s="14"/>
      <c r="E20" s="14"/>
      <c r="F20" s="14"/>
      <c r="G20" s="14"/>
      <c r="H20" s="1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</row>
    <row r="21" spans="1:61" x14ac:dyDescent="0.2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</row>
    <row r="22" spans="1:61" x14ac:dyDescent="0.2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</row>
    <row r="23" spans="1:61" x14ac:dyDescent="0.2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</row>
    <row r="24" spans="1:61" x14ac:dyDescent="0.2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</row>
    <row r="25" spans="1:61" x14ac:dyDescent="0.2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</row>
    <row r="26" spans="1:61" x14ac:dyDescent="0.2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</row>
    <row r="27" spans="1:61" x14ac:dyDescent="0.2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</row>
    <row r="28" spans="1:61" x14ac:dyDescent="0.2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</row>
    <row r="29" spans="1:61" x14ac:dyDescent="0.2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</row>
    <row r="30" spans="1:61" x14ac:dyDescent="0.2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</row>
    <row r="31" spans="1:61" x14ac:dyDescent="0.2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</row>
    <row r="32" spans="1:61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</row>
    <row r="33" spans="1:61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</row>
    <row r="34" spans="1:61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</row>
    <row r="35" spans="1:61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</row>
    <row r="36" spans="1:61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</row>
    <row r="37" spans="1:61" x14ac:dyDescent="0.2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</row>
    <row r="38" spans="1:61" x14ac:dyDescent="0.2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</row>
    <row r="39" spans="1:61" x14ac:dyDescent="0.2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</row>
    <row r="40" spans="1:61" x14ac:dyDescent="0.2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</row>
    <row r="41" spans="1:61" x14ac:dyDescent="0.2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</row>
    <row r="42" spans="1:61" x14ac:dyDescent="0.2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</row>
    <row r="43" spans="1:61" x14ac:dyDescent="0.2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</row>
    <row r="44" spans="1:61" x14ac:dyDescent="0.2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</row>
    <row r="45" spans="1:61" x14ac:dyDescent="0.2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</row>
    <row r="46" spans="1:61" x14ac:dyDescent="0.2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</row>
    <row r="47" spans="1:61" x14ac:dyDescent="0.2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</row>
    <row r="48" spans="1:61" x14ac:dyDescent="0.2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</row>
    <row r="49" spans="1:25" x14ac:dyDescent="0.2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</row>
    <row r="50" spans="1:25" x14ac:dyDescent="0.2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</row>
  </sheetData>
  <dataValidations count="1">
    <dataValidation type="list" allowBlank="1" showInputMessage="1" showErrorMessage="1" sqref="B5" xr:uid="{3A326A52-03CA-485E-BF5D-A4909B4F22A5}">
      <formula1>"AED, USD"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55B9-69DF-4BD5-9234-10549B0E832D}">
  <dimension ref="A1:T26"/>
  <sheetViews>
    <sheetView showGridLines="0" workbookViewId="0">
      <pane xSplit="2" ySplit="6" topLeftCell="I7" activePane="bottomRight" state="frozen"/>
      <selection pane="topRight" activeCell="P28" sqref="P28"/>
      <selection pane="bottomLeft" activeCell="P28" sqref="P28"/>
      <selection pane="bottomRight" activeCell="R24" sqref="R24"/>
    </sheetView>
  </sheetViews>
  <sheetFormatPr defaultColWidth="9.140625" defaultRowHeight="12.75" x14ac:dyDescent="0.2"/>
  <cols>
    <col min="1" max="1" width="9.140625" style="20"/>
    <col min="2" max="2" width="38.42578125" style="20" customWidth="1"/>
    <col min="3" max="3" width="18.140625" style="20" customWidth="1"/>
    <col min="4" max="6" width="13.28515625" style="20" bestFit="1" customWidth="1"/>
    <col min="7" max="7" width="13.28515625" style="20" customWidth="1"/>
    <col min="8" max="8" width="12.140625" style="20" customWidth="1"/>
    <col min="9" max="11" width="12.7109375" style="20" bestFit="1" customWidth="1"/>
    <col min="12" max="12" width="12.7109375" style="20" customWidth="1"/>
    <col min="13" max="15" width="12.7109375" style="20" bestFit="1" customWidth="1"/>
    <col min="16" max="16" width="13.28515625" style="20" customWidth="1"/>
    <col min="17" max="16384" width="9.140625" style="20"/>
  </cols>
  <sheetData>
    <row r="1" spans="1:20" x14ac:dyDescent="0.2">
      <c r="A1" s="163">
        <f>'2023 IR Data Book'!$A$5</f>
        <v>0.27228666339922669</v>
      </c>
    </row>
    <row r="2" spans="1:20" x14ac:dyDescent="0.2">
      <c r="A2" s="163"/>
    </row>
    <row r="3" spans="1:20" ht="15" x14ac:dyDescent="0.25">
      <c r="B3" s="70"/>
    </row>
    <row r="4" spans="1:20" x14ac:dyDescent="0.2">
      <c r="B4" s="72" t="s">
        <v>290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263" t="s">
        <v>19</v>
      </c>
      <c r="Q4" s="263"/>
    </row>
    <row r="5" spans="1:20" x14ac:dyDescent="0.2">
      <c r="B5" s="134"/>
      <c r="C5" s="75" t="s">
        <v>20</v>
      </c>
      <c r="D5" s="75" t="s">
        <v>21</v>
      </c>
      <c r="E5" s="75" t="s">
        <v>22</v>
      </c>
      <c r="F5" s="75" t="s">
        <v>23</v>
      </c>
      <c r="G5" s="75">
        <v>2021</v>
      </c>
      <c r="H5" s="75" t="s">
        <v>25</v>
      </c>
      <c r="I5" s="203" t="s">
        <v>26</v>
      </c>
      <c r="J5" s="203" t="s">
        <v>260</v>
      </c>
      <c r="K5" s="203" t="s">
        <v>279</v>
      </c>
      <c r="L5" s="203">
        <v>2022</v>
      </c>
      <c r="M5" s="203" t="s">
        <v>286</v>
      </c>
      <c r="N5" s="203" t="s">
        <v>300</v>
      </c>
      <c r="O5" s="203" t="s">
        <v>306</v>
      </c>
      <c r="P5" s="203" t="str">
        <f>+'Aramex Courier'!P5</f>
        <v>Q3 23 vs Q3 22</v>
      </c>
      <c r="Q5" s="203" t="s">
        <v>27</v>
      </c>
    </row>
    <row r="6" spans="1:20" x14ac:dyDescent="0.2"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20" x14ac:dyDescent="0.2">
      <c r="B7" s="196" t="s">
        <v>173</v>
      </c>
      <c r="C7" s="185">
        <f>104585.74155785*('2023 IR Data Book'!$A$5)</f>
        <v>28477.302607920814</v>
      </c>
      <c r="D7" s="185">
        <f>108808.981524708*('2023 IR Data Book'!$A$5)</f>
        <v>29627.234527230841</v>
      </c>
      <c r="E7" s="185">
        <f>108445.010175879*('2023 IR Data Book'!$A$5)</f>
        <v>29528.129983085277</v>
      </c>
      <c r="F7" s="185">
        <f>113016.407797778*('2023 IR Data Book'!$A$5)</f>
        <v>30772.860588623316</v>
      </c>
      <c r="G7" s="185">
        <f>SUM(C7:F7)</f>
        <v>118405.52770686024</v>
      </c>
      <c r="H7" s="185">
        <f>112105.259668336*('2023 IR Data Book'!$A$5)</f>
        <v>30524.76710459511</v>
      </c>
      <c r="I7" s="185">
        <f>111756.154186905*('2023 IR Data Book'!$A$5)</f>
        <v>30429.710337881879</v>
      </c>
      <c r="J7" s="185">
        <f>110474.513920355*(('2023 IR Data Book'!$A$5))</f>
        <v>30080.736786024889</v>
      </c>
      <c r="K7" s="185">
        <f>110958.438357582*(('2023 IR Data Book'!$A$5))</f>
        <v>30212.502956374774</v>
      </c>
      <c r="L7" s="185">
        <f>SUM(H7:K7)</f>
        <v>121247.71718487664</v>
      </c>
      <c r="M7" s="185">
        <f>107043.899568076*('2023 IR Data Book'!$A$5)</f>
        <v>29146.626250633337</v>
      </c>
      <c r="N7" s="185">
        <f>106216.528820156*('2023 IR Data Book'!$A$5)</f>
        <v>28921.344230288079</v>
      </c>
      <c r="O7" s="185">
        <f>104813.010850659*(((('2023 IR Data Book'!$A$5))))</f>
        <v>28539.185005352883</v>
      </c>
      <c r="P7" s="186">
        <f>O7-J7</f>
        <v>-1541.5517806720054</v>
      </c>
      <c r="Q7" s="187">
        <f>P7/J7</f>
        <v>-5.1247141705258695E-2</v>
      </c>
      <c r="T7" s="239"/>
    </row>
    <row r="8" spans="1:20" x14ac:dyDescent="0.2">
      <c r="B8" s="197" t="s">
        <v>176</v>
      </c>
      <c r="C8" s="188">
        <f>86553.9529170147*('2023 IR Data Book'!$A$5)</f>
        <v>23567.487043787696</v>
      </c>
      <c r="D8" s="188">
        <f>101894.161962373*('2023 IR Data Book'!$A$5)</f>
        <v>27744.421380594944</v>
      </c>
      <c r="E8" s="188">
        <f>94777.1994902576*('2023 IR Data Book'!$A$5)</f>
        <v>25806.567415525129</v>
      </c>
      <c r="F8" s="188">
        <f>109153.581456482*('2023 IR Data Book'!$A$5)</f>
        <v>29721.064492861187</v>
      </c>
      <c r="G8" s="188">
        <f>SUM(C8:F8)</f>
        <v>106839.54033276896</v>
      </c>
      <c r="H8" s="188">
        <f>98933.9658703533*('2023 IR Data Book'!$A$5)</f>
        <v>26938.399463691472</v>
      </c>
      <c r="I8" s="188">
        <f>83311.6154577578*('2023 IR Data Book'!$A$5)</f>
        <v>22684.641795392308</v>
      </c>
      <c r="J8" s="188">
        <f>(101858.873435182-91.1288848676697)*(('2023 IR Data Book'!$A$5))</f>
        <v>27709.999605269928</v>
      </c>
      <c r="K8" s="188">
        <f>94262.2586567196*(('2023 IR Data Book'!$A$5))</f>
        <v>25666.35589411305</v>
      </c>
      <c r="L8" s="188">
        <f>SUM(H8:K8)</f>
        <v>102999.39675846676</v>
      </c>
      <c r="M8" s="188">
        <f>90841.2760854907*('2023 IR Data Book'!$A$5)</f>
        <v>24734.867964246227</v>
      </c>
      <c r="N8" s="188">
        <f>89919.086671638*('2023 IR Data Book'!$A$5)</f>
        <v>24483.768085726188</v>
      </c>
      <c r="O8" s="188">
        <f>93161.5690100899*(((('2023 IR Data Book'!$A$5))))</f>
        <v>25366.652782794175</v>
      </c>
      <c r="P8" s="189">
        <f t="shared" ref="P8:P9" si="0">O8-J8</f>
        <v>-2343.3468224757526</v>
      </c>
      <c r="Q8" s="190">
        <f t="shared" ref="Q8:Q9" si="1">P8/J8</f>
        <v>-8.4566829875742461E-2</v>
      </c>
      <c r="T8" s="239"/>
    </row>
    <row r="9" spans="1:20" x14ac:dyDescent="0.2">
      <c r="B9" s="196" t="s">
        <v>177</v>
      </c>
      <c r="C9" s="185">
        <f t="shared" ref="C9:I9" si="2">C7-C8</f>
        <v>4909.8155641331177</v>
      </c>
      <c r="D9" s="185">
        <f t="shared" si="2"/>
        <v>1882.8131466358973</v>
      </c>
      <c r="E9" s="185">
        <f t="shared" si="2"/>
        <v>3721.5625675601477</v>
      </c>
      <c r="F9" s="185">
        <f t="shared" si="2"/>
        <v>1051.796095762129</v>
      </c>
      <c r="G9" s="185">
        <f t="shared" si="2"/>
        <v>11565.987374091288</v>
      </c>
      <c r="H9" s="185">
        <f t="shared" si="2"/>
        <v>3586.3676409036379</v>
      </c>
      <c r="I9" s="185">
        <f t="shared" si="2"/>
        <v>7745.068542489571</v>
      </c>
      <c r="J9" s="185">
        <f t="shared" ref="J9:L9" si="3">J7-J8</f>
        <v>2370.7371807549607</v>
      </c>
      <c r="K9" s="185">
        <f t="shared" si="3"/>
        <v>4546.1470622617235</v>
      </c>
      <c r="L9" s="185">
        <f t="shared" si="3"/>
        <v>18248.320426409889</v>
      </c>
      <c r="M9" s="185">
        <f t="shared" ref="M9:N9" si="4">M7-M8</f>
        <v>4411.7582863871103</v>
      </c>
      <c r="N9" s="185">
        <f t="shared" si="4"/>
        <v>4437.5761445618919</v>
      </c>
      <c r="O9" s="185">
        <f t="shared" ref="O9" si="5">O7-O8</f>
        <v>3172.5322225587079</v>
      </c>
      <c r="P9" s="198">
        <f t="shared" si="0"/>
        <v>801.79504180374715</v>
      </c>
      <c r="Q9" s="187">
        <f t="shared" si="1"/>
        <v>0.33820494667756285</v>
      </c>
      <c r="T9" s="239"/>
    </row>
    <row r="10" spans="1:20" x14ac:dyDescent="0.2">
      <c r="B10" s="199" t="s">
        <v>178</v>
      </c>
      <c r="C10" s="191">
        <f t="shared" ref="C10:I10" si="6">C9/C7</f>
        <v>0.17241153882206098</v>
      </c>
      <c r="D10" s="191">
        <f t="shared" si="6"/>
        <v>6.3550080751052729E-2</v>
      </c>
      <c r="E10" s="191">
        <f t="shared" si="6"/>
        <v>0.12603448202415751</v>
      </c>
      <c r="F10" s="191">
        <f t="shared" si="6"/>
        <v>3.4179341005138031E-2</v>
      </c>
      <c r="G10" s="191">
        <f t="shared" si="6"/>
        <v>9.7681143761510145E-2</v>
      </c>
      <c r="H10" s="191">
        <f t="shared" si="6"/>
        <v>0.11749041781759431</v>
      </c>
      <c r="I10" s="191">
        <f t="shared" si="6"/>
        <v>0.25452324246569485</v>
      </c>
      <c r="J10" s="191">
        <f t="shared" ref="J10:L10" si="7">J9/J7</f>
        <v>7.8812470506253479E-2</v>
      </c>
      <c r="K10" s="191">
        <f t="shared" si="7"/>
        <v>0.15047237459359508</v>
      </c>
      <c r="L10" s="191">
        <f t="shared" si="7"/>
        <v>0.15050444536275379</v>
      </c>
      <c r="M10" s="191">
        <f t="shared" ref="M10:N10" si="8">M9/M7</f>
        <v>0.15136428650267011</v>
      </c>
      <c r="N10" s="191">
        <f t="shared" si="8"/>
        <v>0.15343602666692821</v>
      </c>
      <c r="O10" s="191">
        <f t="shared" ref="O10" si="9">O9/O7</f>
        <v>0.11116407921121993</v>
      </c>
      <c r="P10" s="191"/>
      <c r="Q10" s="191"/>
    </row>
    <row r="11" spans="1:20" x14ac:dyDescent="0.2">
      <c r="B11" s="200" t="s">
        <v>179</v>
      </c>
      <c r="C11" s="192">
        <f>14151.3708617567*('2023 IR Data Book'!$A$5)</f>
        <v>3853.2295544727713</v>
      </c>
      <c r="D11" s="192">
        <f>12503.673217457*('2023 IR Data Book'!$A$5)</f>
        <v>3404.58346061564</v>
      </c>
      <c r="E11" s="192">
        <f>13033.4885961757*('2023 IR Data Book'!$A$5)</f>
        <v>3548.8451223045527</v>
      </c>
      <c r="F11" s="192">
        <f>13511.0129796056*('2023 IR Data Book'!$A$5)</f>
        <v>3678.868643360453</v>
      </c>
      <c r="G11" s="192">
        <f>SUM(C11:F11)</f>
        <v>14485.526780753416</v>
      </c>
      <c r="H11" s="192">
        <f>12489.5278782531*('2023 IR Data Book'!$A$5)</f>
        <v>3400.7318734011601</v>
      </c>
      <c r="I11" s="192">
        <f>17395.7046626744*('2023 IR Data Book'!$A$5)</f>
        <v>4736.6183800779827</v>
      </c>
      <c r="J11" s="192">
        <f>14720.6013629062*(('2023 IR Data Book'!$A$5))</f>
        <v>4008.223428335838</v>
      </c>
      <c r="K11" s="192">
        <f>14429.1289717175*(('2023 IR Data Book'!$A$5))</f>
        <v>3928.8593834660728</v>
      </c>
      <c r="L11" s="192">
        <f>SUM(H11:K11)</f>
        <v>16074.433065281053</v>
      </c>
      <c r="M11" s="192">
        <f>14148.1474994704*('2023 IR Data Book'!$A$5)</f>
        <v>3852.3518759109079</v>
      </c>
      <c r="N11" s="192">
        <f>14570.8481606643*('2023 IR Data Book'!$A$5)</f>
        <v>3967.4476285640417</v>
      </c>
      <c r="O11" s="192">
        <f>14320.3227988616*(((('2023 IR Data Book'!$A$5))))</f>
        <v>3899.2329137019005</v>
      </c>
      <c r="P11" s="193">
        <f t="shared" ref="P11:P12" si="10">O11-J11</f>
        <v>-108.99051463393744</v>
      </c>
      <c r="Q11" s="190">
        <f t="shared" ref="Q11:Q12" si="11">P11/J11</f>
        <v>-2.7191726355231868E-2</v>
      </c>
      <c r="T11" s="239"/>
    </row>
    <row r="12" spans="1:20" x14ac:dyDescent="0.2">
      <c r="B12" s="201" t="s">
        <v>180</v>
      </c>
      <c r="C12" s="194">
        <f>5702.3992194531*('2023 IR Data Book'!$A$5)</f>
        <v>1552.6872568352394</v>
      </c>
      <c r="D12" s="194">
        <f>-5088.39048845237*('2023 IR Data Book'!$A$5)</f>
        <v>-1385.5008681730571</v>
      </c>
      <c r="E12" s="194">
        <f>5816.40331765882*('2023 IR Data Book'!$A$5)</f>
        <v>1583.7290523495126</v>
      </c>
      <c r="F12" s="194">
        <f>15858.7549284546*('2023 IR Data Book'!$A$5)</f>
        <v>4318.1274651349449</v>
      </c>
      <c r="G12" s="194">
        <f>SUM(C12:F12)</f>
        <v>6069.0429061466402</v>
      </c>
      <c r="H12" s="194">
        <f>5792.25311649132*('2023 IR Data Book'!$A$5)</f>
        <v>1577.1532746531939</v>
      </c>
      <c r="I12" s="194">
        <f>5179.84324275896*('2023 IR Data Book'!$A$5)</f>
        <v>1410.4022335018676</v>
      </c>
      <c r="J12" s="194">
        <f>(-6206.96170339434--92.3753120947572)*(('2023 IR Data Book'!$A$5))</f>
        <v>-1664.9203265532815</v>
      </c>
      <c r="K12" s="194">
        <f>2370.47325971081*(('2023 IR Data Book'!$A$5))</f>
        <v>645.44825456374497</v>
      </c>
      <c r="L12" s="194">
        <f>SUM(H12:K12)</f>
        <v>1968.083436165525</v>
      </c>
      <c r="M12" s="194">
        <f>2150.14946247002*('2023 IR Data Book'!$A$5)</f>
        <v>585.45702294560249</v>
      </c>
      <c r="N12" s="194">
        <f>1381.98113750065*('2023 IR Data Book'!$A$5)</f>
        <v>376.29503281071993</v>
      </c>
      <c r="O12" s="194">
        <f>-3093.07301730344*(((('2023 IR Data Book'!$A$5))))</f>
        <v>-842.20253153173223</v>
      </c>
      <c r="P12" s="194">
        <f t="shared" si="10"/>
        <v>822.71779502154925</v>
      </c>
      <c r="Q12" s="195">
        <f t="shared" si="11"/>
        <v>-0.49414844776671074</v>
      </c>
      <c r="T12" s="28"/>
    </row>
    <row r="13" spans="1:20" x14ac:dyDescent="0.2">
      <c r="B13" s="202" t="s">
        <v>181</v>
      </c>
      <c r="C13" s="191">
        <f t="shared" ref="C13:I13" si="12">C12/C7</f>
        <v>5.4523677267220086E-2</v>
      </c>
      <c r="D13" s="191">
        <f t="shared" si="12"/>
        <v>-4.6764434490152031E-2</v>
      </c>
      <c r="E13" s="191">
        <f t="shared" si="12"/>
        <v>5.3634586858589649E-2</v>
      </c>
      <c r="F13" s="191">
        <f t="shared" si="12"/>
        <v>0.14032258888311966</v>
      </c>
      <c r="G13" s="191">
        <f t="shared" si="12"/>
        <v>5.1256415335371279E-2</v>
      </c>
      <c r="H13" s="191">
        <f t="shared" si="12"/>
        <v>5.1667987154462969E-2</v>
      </c>
      <c r="I13" s="191">
        <f t="shared" si="12"/>
        <v>4.634951229706781E-2</v>
      </c>
      <c r="J13" s="191">
        <f t="shared" ref="J13:L13" si="13">J12/J7</f>
        <v>-5.5348389183298909E-2</v>
      </c>
      <c r="K13" s="191">
        <f t="shared" si="13"/>
        <v>2.1363614113525699E-2</v>
      </c>
      <c r="L13" s="191">
        <f t="shared" si="13"/>
        <v>1.6231921572301619E-2</v>
      </c>
      <c r="M13" s="191">
        <f t="shared" ref="M13:N13" si="14">M12/M7</f>
        <v>2.0086613727133544E-2</v>
      </c>
      <c r="N13" s="191">
        <f t="shared" si="14"/>
        <v>1.3010980050389302E-2</v>
      </c>
      <c r="O13" s="191">
        <f t="shared" ref="O13" si="15">O12/O7</f>
        <v>-2.95103918130026E-2</v>
      </c>
      <c r="P13" s="191"/>
      <c r="Q13" s="191"/>
    </row>
    <row r="14" spans="1:20" x14ac:dyDescent="0.2">
      <c r="B14" s="201" t="s">
        <v>182</v>
      </c>
      <c r="C14" s="194">
        <f>25987.4230939523*('2023 IR Data Book'!$A$5)</f>
        <v>7076.02872459628</v>
      </c>
      <c r="D14" s="194">
        <f>17185.0201260158*('2023 IR Data Book'!$A$5)</f>
        <v>4679.2517905614004</v>
      </c>
      <c r="E14" s="194">
        <f>28918.9802275479*('2023 IR Data Book'!$A$5)</f>
        <v>7874.2526350672279</v>
      </c>
      <c r="F14" s="194">
        <f>38201.4024157444*('2023 IR Data Book'!$A$5)</f>
        <v>10401.732400954201</v>
      </c>
      <c r="G14" s="194">
        <f>SUM(C14:F14)</f>
        <v>30031.265551179109</v>
      </c>
      <c r="H14" s="194">
        <f>28762.0029383276*('2023 IR Data Book'!$A$5)</f>
        <v>7831.5098127559768</v>
      </c>
      <c r="I14" s="194">
        <f>26975.4387801771*('2023 IR Data Book'!$A$5)</f>
        <v>7345.0522191845284</v>
      </c>
      <c r="J14" s="194">
        <f>(14985.8032363457+92.0501665966851)*(('2023 IR Data Book'!$A$5))</f>
        <v>4105.4983943098587</v>
      </c>
      <c r="K14" s="194">
        <f>24392.0568135464*(('2023 IR Data Book'!$A$5))</f>
        <v>6641.6317632049222</v>
      </c>
      <c r="L14" s="194">
        <f>SUM(H14:K14)</f>
        <v>25923.692189455287</v>
      </c>
      <c r="M14" s="194">
        <f>24888.5034405447*('2023 IR Data Book'!$A$5)</f>
        <v>6776.8075588260899</v>
      </c>
      <c r="N14" s="194">
        <f>23769.0877004912*('2023 IR Data Book'!$A$5)</f>
        <v>6472.0055820103462</v>
      </c>
      <c r="O14" s="194">
        <f>19534.3446185946*(((('2023 IR Data Book'!$A$5))))</f>
        <v>5318.9415178877634</v>
      </c>
      <c r="P14" s="194">
        <f>O14-J14</f>
        <v>1213.4431235779048</v>
      </c>
      <c r="Q14" s="195">
        <f>P14/J14</f>
        <v>0.29556536308958575</v>
      </c>
      <c r="T14" s="28"/>
    </row>
    <row r="15" spans="1:20" x14ac:dyDescent="0.2">
      <c r="B15" s="202" t="s">
        <v>183</v>
      </c>
      <c r="C15" s="191">
        <f t="shared" ref="C15:I15" si="16">C14/C7</f>
        <v>0.24847959871831818</v>
      </c>
      <c r="D15" s="191">
        <f t="shared" si="16"/>
        <v>0.15793751476401313</v>
      </c>
      <c r="E15" s="191">
        <f t="shared" si="16"/>
        <v>0.26666953307161234</v>
      </c>
      <c r="F15" s="191">
        <f t="shared" si="16"/>
        <v>0.33801642752704331</v>
      </c>
      <c r="G15" s="191">
        <f t="shared" si="16"/>
        <v>0.25363060435428592</v>
      </c>
      <c r="H15" s="191">
        <f t="shared" si="16"/>
        <v>0.25656247551114136</v>
      </c>
      <c r="I15" s="191">
        <f t="shared" si="16"/>
        <v>0.24137765813829287</v>
      </c>
      <c r="J15" s="191">
        <f t="shared" ref="J15:L15" si="17">J14/J7</f>
        <v>0.1364826408180673</v>
      </c>
      <c r="K15" s="191">
        <f t="shared" si="17"/>
        <v>0.21983057056858482</v>
      </c>
      <c r="L15" s="191">
        <f t="shared" si="17"/>
        <v>0.21380767235334619</v>
      </c>
      <c r="M15" s="191">
        <f t="shared" ref="M15:N15" si="18">M14/M7</f>
        <v>0.23250744359062259</v>
      </c>
      <c r="N15" s="191">
        <f t="shared" si="18"/>
        <v>0.22377955638840927</v>
      </c>
      <c r="O15" s="191">
        <f t="shared" ref="O15" si="19">O14/O7</f>
        <v>0.1863732799969631</v>
      </c>
    </row>
    <row r="19" spans="3:5" x14ac:dyDescent="0.2">
      <c r="E19" s="28"/>
    </row>
    <row r="21" spans="3:5" x14ac:dyDescent="0.2">
      <c r="E21" s="28"/>
    </row>
    <row r="22" spans="3:5" x14ac:dyDescent="0.2">
      <c r="C22" s="28"/>
    </row>
    <row r="26" spans="3:5" x14ac:dyDescent="0.2">
      <c r="E26" s="239"/>
    </row>
  </sheetData>
  <mergeCells count="1">
    <mergeCell ref="P4:Q4"/>
  </mergeCells>
  <pageMargins left="0.7" right="0.7" top="0.75" bottom="0.75" header="0.3" footer="0.3"/>
  <pageSetup paperSize="9" orientation="portrait" r:id="rId1"/>
  <ignoredErrors>
    <ignoredError sqref="G13 L1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1D16-02DC-4DFE-AC93-0F17B5F0735F}">
  <dimension ref="A1:Q266"/>
  <sheetViews>
    <sheetView showGridLines="0" workbookViewId="0">
      <pane xSplit="2" ySplit="7" topLeftCell="C48" activePane="bottomRight" state="frozen"/>
      <selection pane="topRight" activeCell="P28" sqref="P28"/>
      <selection pane="bottomLeft" activeCell="P28" sqref="P28"/>
      <selection pane="bottomRight" activeCell="I78" sqref="I78"/>
    </sheetView>
  </sheetViews>
  <sheetFormatPr defaultColWidth="9.140625" defaultRowHeight="12.75" x14ac:dyDescent="0.2"/>
  <cols>
    <col min="1" max="1" width="3.28515625" style="20" customWidth="1"/>
    <col min="2" max="2" width="37.28515625" style="20" bestFit="1" customWidth="1"/>
    <col min="3" max="3" width="15" style="20" customWidth="1"/>
    <col min="4" max="4" width="8.5703125" style="20" bestFit="1" customWidth="1"/>
    <col min="5" max="5" width="13.5703125" style="20" bestFit="1" customWidth="1"/>
    <col min="6" max="6" width="17.42578125" style="20" bestFit="1" customWidth="1"/>
    <col min="7" max="7" width="10.5703125" style="28" bestFit="1" customWidth="1"/>
    <col min="8" max="8" width="10.5703125" style="20" bestFit="1" customWidth="1"/>
    <col min="9" max="9" width="9.28515625" style="20" bestFit="1" customWidth="1"/>
    <col min="10" max="10" width="9.28515625" style="20" customWidth="1"/>
    <col min="11" max="11" width="37.28515625" style="20" customWidth="1"/>
    <col min="12" max="12" width="15.5703125" style="20" customWidth="1"/>
    <col min="13" max="13" width="6.5703125" style="20" bestFit="1" customWidth="1"/>
    <col min="14" max="14" width="13.5703125" style="20" customWidth="1"/>
    <col min="15" max="15" width="11" style="20" customWidth="1"/>
    <col min="16" max="16" width="10.5703125" style="28" customWidth="1"/>
    <col min="17" max="17" width="11" style="20" customWidth="1"/>
    <col min="18" max="16384" width="9.140625" style="20"/>
  </cols>
  <sheetData>
    <row r="1" spans="1:17" x14ac:dyDescent="0.2">
      <c r="A1" s="163">
        <f>'2023 IR Data Book'!$A$5</f>
        <v>0.27228666339922669</v>
      </c>
    </row>
    <row r="2" spans="1:17" x14ac:dyDescent="0.2">
      <c r="B2" s="71" t="s">
        <v>191</v>
      </c>
      <c r="C2" s="2"/>
      <c r="I2" s="152"/>
      <c r="K2" s="71" t="s">
        <v>191</v>
      </c>
    </row>
    <row r="3" spans="1:17" x14ac:dyDescent="0.2">
      <c r="B3" s="58" t="s">
        <v>309</v>
      </c>
      <c r="G3" s="212"/>
      <c r="I3" s="152"/>
      <c r="K3" s="58" t="s">
        <v>310</v>
      </c>
    </row>
    <row r="4" spans="1:17" x14ac:dyDescent="0.2">
      <c r="B4" s="50" t="s">
        <v>299</v>
      </c>
      <c r="I4" s="152"/>
      <c r="K4" s="50" t="s">
        <v>202</v>
      </c>
    </row>
    <row r="5" spans="1:17" x14ac:dyDescent="0.2">
      <c r="C5" s="151" t="s">
        <v>203</v>
      </c>
      <c r="D5" s="135"/>
      <c r="E5" s="151" t="s">
        <v>203</v>
      </c>
      <c r="I5" s="152"/>
      <c r="L5" s="151" t="s">
        <v>203</v>
      </c>
      <c r="M5" s="135"/>
      <c r="N5" s="151" t="s">
        <v>203</v>
      </c>
    </row>
    <row r="6" spans="1:17" x14ac:dyDescent="0.2">
      <c r="B6" s="136"/>
      <c r="C6" s="151" t="s">
        <v>308</v>
      </c>
      <c r="D6" s="135"/>
      <c r="E6" s="151" t="s">
        <v>261</v>
      </c>
      <c r="G6" s="171" t="s">
        <v>204</v>
      </c>
      <c r="H6" s="151" t="s">
        <v>27</v>
      </c>
      <c r="I6" s="152"/>
      <c r="K6" s="136"/>
      <c r="L6" s="151" t="s">
        <v>318</v>
      </c>
      <c r="M6" s="135"/>
      <c r="N6" s="151" t="s">
        <v>311</v>
      </c>
      <c r="P6" s="171" t="s">
        <v>204</v>
      </c>
      <c r="Q6" s="151" t="s">
        <v>27</v>
      </c>
    </row>
    <row r="7" spans="1:17" ht="6.75" customHeight="1" x14ac:dyDescent="0.2">
      <c r="H7" s="137"/>
      <c r="I7" s="152"/>
      <c r="Q7" s="137"/>
    </row>
    <row r="8" spans="1:17" x14ac:dyDescent="0.2">
      <c r="B8" s="20" t="s">
        <v>205</v>
      </c>
      <c r="C8" s="86">
        <f>43303.4294467596*(('2023 IR Data Book'!$A$5))</f>
        <v>11790.946317801992</v>
      </c>
      <c r="D8" s="138">
        <f>C8/$C$14</f>
        <v>0.25928633339664903</v>
      </c>
      <c r="E8" s="86">
        <f>46032.6265424852*(('2023 IR Data Book'!$A$5))</f>
        <v>12534.070288755976</v>
      </c>
      <c r="F8" s="138">
        <f>E8/$E$14</f>
        <v>0.23768318074972683</v>
      </c>
      <c r="G8" s="140">
        <f>C8-E8</f>
        <v>-743.1239709539841</v>
      </c>
      <c r="H8" s="139">
        <f>(C8/E8)-1</f>
        <v>-5.9288320061570365E-2</v>
      </c>
      <c r="I8" s="152"/>
      <c r="K8" s="20" t="s">
        <v>205</v>
      </c>
      <c r="L8" s="86">
        <f>132398.545706223*(('2023 IR Data Book'!$A$5))</f>
        <v>36050.358249257471</v>
      </c>
      <c r="M8" s="138">
        <f>L8/$L$14</f>
        <v>0.25918969372244799</v>
      </c>
      <c r="N8" s="86">
        <f>143944.631617249*(('2023 IR Data Book'!$A$5))</f>
        <v>39194.203457291558</v>
      </c>
      <c r="O8" s="138">
        <f>N8/$N$14</f>
        <v>0.24732838789745734</v>
      </c>
      <c r="P8" s="140">
        <f>L8-N8</f>
        <v>-3143.8452080340867</v>
      </c>
      <c r="Q8" s="139">
        <f>(L8/N8)-1</f>
        <v>-8.0211993884754307E-2</v>
      </c>
    </row>
    <row r="9" spans="1:17" x14ac:dyDescent="0.2">
      <c r="B9" s="20" t="s">
        <v>206</v>
      </c>
      <c r="C9" s="86">
        <f>42039.1007201628*(('2023 IR Data Book'!$A$5))</f>
        <v>11446.686467397158</v>
      </c>
      <c r="D9" s="138">
        <f>C9/$C$14</f>
        <v>0.25171595931968616</v>
      </c>
      <c r="E9" s="86">
        <f>41253.2123804406*(('2023 IR Data Book'!$A$5))</f>
        <v>11232.699553569841</v>
      </c>
      <c r="F9" s="138">
        <f>E9/$E$14</f>
        <v>0.21300532842021425</v>
      </c>
      <c r="G9" s="140">
        <f t="shared" ref="G9:G12" si="0">C9-E9</f>
        <v>213.98691382731704</v>
      </c>
      <c r="H9" s="139">
        <f>(C9/E9)-1</f>
        <v>1.9050354975381767E-2</v>
      </c>
      <c r="I9" s="152"/>
      <c r="K9" s="20" t="s">
        <v>206</v>
      </c>
      <c r="L9" s="86">
        <f>125518.039397171*(('2023 IR Data Book'!$A$5))</f>
        <v>34176.888143868375</v>
      </c>
      <c r="M9" s="138">
        <f t="shared" ref="M9:M12" si="1">L9/$L$14</f>
        <v>0.2457200871388861</v>
      </c>
      <c r="N9" s="86">
        <f>131285.087102272*(('2023 IR Data Book'!$A$5))</f>
        <v>35747.17832115449</v>
      </c>
      <c r="O9" s="138">
        <f t="shared" ref="O9:O12" si="2">N9/$N$14</f>
        <v>0.22557651913217466</v>
      </c>
      <c r="P9" s="140">
        <f t="shared" ref="P9:P12" si="3">L9-N9</f>
        <v>-1570.2901772861151</v>
      </c>
      <c r="Q9" s="139">
        <f>(L9/N9)-1</f>
        <v>-4.3927667889715583E-2</v>
      </c>
    </row>
    <row r="10" spans="1:17" x14ac:dyDescent="0.2">
      <c r="B10" s="20" t="s">
        <v>207</v>
      </c>
      <c r="C10" s="86">
        <f>55982.4269915866*(('2023 IR Data Book'!$A$5))</f>
        <v>15243.268254529925</v>
      </c>
      <c r="D10" s="138">
        <f>C10/$C$14</f>
        <v>0.33520389527440259</v>
      </c>
      <c r="E10" s="86">
        <f>73786.9394229623*(('2023 IR Data Book'!$A$5))</f>
        <v>20091.199537919267</v>
      </c>
      <c r="F10" s="138">
        <f>E10/$E$14</f>
        <v>0.38098878506640738</v>
      </c>
      <c r="G10" s="81">
        <f t="shared" si="0"/>
        <v>-4847.9312833893418</v>
      </c>
      <c r="H10" s="82">
        <f>(C10/E10)-1</f>
        <v>-0.24129625880423733</v>
      </c>
      <c r="I10" s="152"/>
      <c r="K10" s="20" t="s">
        <v>207</v>
      </c>
      <c r="L10" s="86">
        <f>175496.189883536*(('2023 IR Data Book'!$A$5))</f>
        <v>47785.271982665137</v>
      </c>
      <c r="M10" s="138">
        <f t="shared" si="1"/>
        <v>0.3435596929161156</v>
      </c>
      <c r="N10" s="86">
        <f>205908.796945169*(('2023 IR Data Book'!$A$5))</f>
        <v>56066.219284748942</v>
      </c>
      <c r="O10" s="138">
        <f t="shared" si="2"/>
        <v>0.35379638844586758</v>
      </c>
      <c r="P10" s="81">
        <f t="shared" si="3"/>
        <v>-8280.947302083805</v>
      </c>
      <c r="Q10" s="82">
        <f>(L10/N10)-1</f>
        <v>-0.14769940630429446</v>
      </c>
    </row>
    <row r="11" spans="1:17" x14ac:dyDescent="0.2">
      <c r="B11" s="20" t="s">
        <v>208</v>
      </c>
      <c r="C11" s="86">
        <f>20792.4412643713*(('2023 IR Data Book'!$A$5))</f>
        <v>5661.50445580006</v>
      </c>
      <c r="D11" s="138">
        <f>C11/$C$14</f>
        <v>0.12449812697704114</v>
      </c>
      <c r="E11" s="86">
        <f>28428.7414782047*(('2023 IR Data Book'!$A$5))</f>
        <v>7740.7671617395581</v>
      </c>
      <c r="F11" s="138">
        <f>E11/$E$14</f>
        <v>0.1467879242783392</v>
      </c>
      <c r="G11" s="140">
        <f t="shared" si="0"/>
        <v>-2079.2627059394981</v>
      </c>
      <c r="H11" s="139">
        <f>(C11/E11)-1</f>
        <v>-0.26861196861942971</v>
      </c>
      <c r="I11" s="152"/>
      <c r="K11" s="20" t="s">
        <v>208</v>
      </c>
      <c r="L11" s="86">
        <f>65600.456874713*(('2023 IR Data Book'!$A$5))</f>
        <v>17862.129519880466</v>
      </c>
      <c r="M11" s="138">
        <f t="shared" si="1"/>
        <v>0.12842257620515801</v>
      </c>
      <c r="N11" s="86">
        <f>90906.1582285468*(('2023 IR Data Book'!$A$5))</f>
        <v>24752.534506493164</v>
      </c>
      <c r="O11" s="138">
        <f t="shared" si="2"/>
        <v>0.15619668001514703</v>
      </c>
      <c r="P11" s="140">
        <f t="shared" si="3"/>
        <v>-6890.4049866126988</v>
      </c>
      <c r="Q11" s="139">
        <f>(L11/N11)-1</f>
        <v>-0.27837169501996595</v>
      </c>
    </row>
    <row r="12" spans="1:17" x14ac:dyDescent="0.2">
      <c r="B12" s="20" t="s">
        <v>209</v>
      </c>
      <c r="C12" s="86">
        <f>4892.67449336251*(('2023 IR Data Book'!$A$5))</f>
        <v>1332.2100128961797</v>
      </c>
      <c r="D12" s="138">
        <f>C12/$C$14</f>
        <v>2.9295685032220981E-2</v>
      </c>
      <c r="E12" s="86">
        <f>4170.68869013166*(('2023 IR Data Book'!$A$5))</f>
        <v>1135.622907512841</v>
      </c>
      <c r="F12" s="138">
        <f>E12/$E$14</f>
        <v>2.1534781485312276E-2</v>
      </c>
      <c r="G12" s="140">
        <f t="shared" si="0"/>
        <v>196.58710538333867</v>
      </c>
      <c r="H12" s="139">
        <f>(C12/E12)-1</f>
        <v>0.17310949266943676</v>
      </c>
      <c r="I12" s="152"/>
      <c r="K12" s="20" t="s">
        <v>209</v>
      </c>
      <c r="L12" s="86">
        <f>11803.9376204173*(('2023 IR Data Book'!$A$5))</f>
        <v>3214.0547896360345</v>
      </c>
      <c r="M12" s="138">
        <f t="shared" si="1"/>
        <v>2.3107950017392378E-2</v>
      </c>
      <c r="N12" s="86">
        <f>9953.34437278052*(('2023 IR Data Book'!$A$5))</f>
        <v>2710.1629289278767</v>
      </c>
      <c r="O12" s="138">
        <f t="shared" si="2"/>
        <v>1.7102024509353376E-2</v>
      </c>
      <c r="P12" s="140">
        <f t="shared" si="3"/>
        <v>503.89186070815776</v>
      </c>
      <c r="Q12" s="139">
        <f>(L12/N12)-1</f>
        <v>0.18592677780722733</v>
      </c>
    </row>
    <row r="13" spans="1:17" x14ac:dyDescent="0.2">
      <c r="C13" s="86"/>
      <c r="D13" s="138"/>
      <c r="E13" s="86"/>
      <c r="F13" s="138"/>
      <c r="G13" s="140"/>
      <c r="H13" s="139"/>
      <c r="I13" s="152"/>
      <c r="L13" s="86"/>
      <c r="M13" s="138"/>
      <c r="N13" s="86"/>
      <c r="O13" s="138"/>
      <c r="P13" s="140"/>
      <c r="Q13" s="139"/>
    </row>
    <row r="14" spans="1:17" x14ac:dyDescent="0.2">
      <c r="B14" s="71" t="s">
        <v>210</v>
      </c>
      <c r="C14" s="87">
        <f>SUM(C8:C12)</f>
        <v>45474.615508425319</v>
      </c>
      <c r="D14" s="138">
        <f>C14/$C$14</f>
        <v>1</v>
      </c>
      <c r="E14" s="87">
        <f>SUM(E8:E12)</f>
        <v>52734.35944949749</v>
      </c>
      <c r="F14" s="138">
        <f>E14/$E$14</f>
        <v>1</v>
      </c>
      <c r="G14" s="141">
        <f>C14-E14</f>
        <v>-7259.7439410721709</v>
      </c>
      <c r="H14" s="142">
        <f>(C14/E14)-1</f>
        <v>-0.13766629607067982</v>
      </c>
      <c r="I14" s="222">
        <f>C14/$C$201</f>
        <v>0.12374069809815651</v>
      </c>
      <c r="K14" s="71" t="s">
        <v>210</v>
      </c>
      <c r="L14" s="87">
        <f>SUM(L8:L12)</f>
        <v>139088.70268530748</v>
      </c>
      <c r="M14" s="138">
        <f>L14/$L$14</f>
        <v>1</v>
      </c>
      <c r="N14" s="87">
        <f>SUM(N8:N12)</f>
        <v>158470.29849861603</v>
      </c>
      <c r="O14" s="138">
        <f>N14/$N$14</f>
        <v>1</v>
      </c>
      <c r="P14" s="141">
        <f>L14-N14</f>
        <v>-19381.595813308551</v>
      </c>
      <c r="Q14" s="142">
        <f>(L14/N14)-1</f>
        <v>-0.12230428034107488</v>
      </c>
    </row>
    <row r="15" spans="1:17" x14ac:dyDescent="0.2">
      <c r="C15" s="86"/>
      <c r="D15" s="143"/>
      <c r="E15" s="86"/>
      <c r="F15" s="143"/>
      <c r="G15" s="172"/>
      <c r="H15" s="139"/>
      <c r="I15" s="222">
        <f>E14/$E$201</f>
        <v>0.1357911642246141</v>
      </c>
      <c r="L15" s="86">
        <v>0</v>
      </c>
      <c r="M15" s="143"/>
      <c r="N15" s="86">
        <v>0</v>
      </c>
      <c r="O15" s="143"/>
      <c r="P15" s="172"/>
      <c r="Q15" s="139"/>
    </row>
    <row r="16" spans="1:17" x14ac:dyDescent="0.2">
      <c r="B16" s="71" t="s">
        <v>31</v>
      </c>
      <c r="C16" s="87">
        <f>42113.9457603569*(('2023 IR Data Book'!$A$5))</f>
        <v>11467.065773663589</v>
      </c>
      <c r="D16" s="138">
        <f>C16/$C$14</f>
        <v>0.25216410618225077</v>
      </c>
      <c r="E16" s="87">
        <f>51047.1066827498*(('2023 IR Data Book'!$A$5))</f>
        <v>13899.44635483031</v>
      </c>
      <c r="F16" s="138">
        <f>E16/$E$14</f>
        <v>0.26357476415621389</v>
      </c>
      <c r="G16" s="141">
        <f>C16-E16</f>
        <v>-2432.3805811667207</v>
      </c>
      <c r="H16" s="142">
        <f>(C16/E16)-1</f>
        <v>-0.17499837900532089</v>
      </c>
      <c r="I16" s="152"/>
      <c r="K16" s="71" t="s">
        <v>31</v>
      </c>
      <c r="L16" s="87">
        <f>139333.434003338*(('2023 IR Data Book'!$A$5))</f>
        <v>37938.635844725264</v>
      </c>
      <c r="M16" s="138">
        <f>L16/$L$14</f>
        <v>0.27276576107379913</v>
      </c>
      <c r="N16" s="87">
        <f>163085.557876118*(('2023 IR Data Book'!$A$5))</f>
        <v>44406.022402689647</v>
      </c>
      <c r="O16" s="138">
        <f>N16/$N$14</f>
        <v>0.28021668933170751</v>
      </c>
      <c r="P16" s="141">
        <f>L16-N16</f>
        <v>-6467.3865579643825</v>
      </c>
      <c r="Q16" s="142">
        <f>(L16/N16)-1</f>
        <v>-0.14564210456221038</v>
      </c>
    </row>
    <row r="17" spans="2:17" x14ac:dyDescent="0.2">
      <c r="B17" s="71"/>
      <c r="C17" s="246"/>
      <c r="D17" s="144"/>
      <c r="E17" s="87"/>
      <c r="F17" s="144"/>
      <c r="G17" s="173"/>
      <c r="H17" s="142"/>
      <c r="I17" s="152"/>
      <c r="K17" s="71"/>
      <c r="L17" s="87"/>
      <c r="M17" s="144"/>
      <c r="N17" s="87"/>
      <c r="O17" s="144"/>
      <c r="P17" s="173"/>
      <c r="Q17" s="142"/>
    </row>
    <row r="18" spans="2:17" x14ac:dyDescent="0.2">
      <c r="B18" s="71"/>
      <c r="C18" s="87"/>
      <c r="D18" s="144"/>
      <c r="E18" s="87"/>
      <c r="F18" s="144"/>
      <c r="G18" s="173"/>
      <c r="H18" s="142"/>
      <c r="I18" s="152"/>
      <c r="K18" s="71"/>
      <c r="L18" s="87"/>
      <c r="M18" s="144"/>
      <c r="N18" s="87"/>
      <c r="O18" s="144"/>
      <c r="P18" s="173"/>
      <c r="Q18" s="142"/>
    </row>
    <row r="19" spans="2:17" x14ac:dyDescent="0.2">
      <c r="B19" s="71" t="s">
        <v>211</v>
      </c>
      <c r="C19" s="151" t="str">
        <f>$C$6</f>
        <v>Q3'23</v>
      </c>
      <c r="D19" s="135"/>
      <c r="E19" s="151" t="str">
        <f>$E$6</f>
        <v>Q3'22</v>
      </c>
      <c r="G19" s="171" t="s">
        <v>204</v>
      </c>
      <c r="H19" s="151" t="s">
        <v>27</v>
      </c>
      <c r="I19" s="152"/>
      <c r="K19" s="71" t="s">
        <v>211</v>
      </c>
      <c r="L19" s="151" t="str">
        <f>$L$6</f>
        <v>Sep YTD 2023</v>
      </c>
      <c r="M19" s="135"/>
      <c r="N19" s="151" t="str">
        <f>$N$6</f>
        <v>Sep YTD 2022</v>
      </c>
      <c r="P19" s="171" t="s">
        <v>204</v>
      </c>
      <c r="Q19" s="151" t="s">
        <v>27</v>
      </c>
    </row>
    <row r="20" spans="2:17" x14ac:dyDescent="0.2">
      <c r="B20" s="20" t="s">
        <v>206</v>
      </c>
      <c r="C20" s="84">
        <v>4403012</v>
      </c>
      <c r="D20" s="85"/>
      <c r="E20" s="84">
        <v>4072094</v>
      </c>
      <c r="F20" s="145"/>
      <c r="G20" s="140">
        <f t="shared" ref="G20:G22" si="4">C20-E20</f>
        <v>330918</v>
      </c>
      <c r="H20" s="139">
        <f t="shared" ref="H20:H22" si="5">(C20/E20)-1</f>
        <v>8.1264823454468393E-2</v>
      </c>
      <c r="I20" s="153"/>
      <c r="K20" s="20" t="s">
        <v>206</v>
      </c>
      <c r="L20" s="84">
        <v>13485838</v>
      </c>
      <c r="M20" s="85"/>
      <c r="N20" s="84">
        <v>12678138</v>
      </c>
      <c r="O20" s="145"/>
      <c r="P20" s="140">
        <f t="shared" ref="P20:P22" si="6">L20-N20</f>
        <v>807700</v>
      </c>
      <c r="Q20" s="139">
        <f t="shared" ref="Q20:Q22" si="7">(L20/N20)-1</f>
        <v>6.3708093412455424E-2</v>
      </c>
    </row>
    <row r="21" spans="2:17" x14ac:dyDescent="0.2">
      <c r="B21" s="20" t="s">
        <v>205</v>
      </c>
      <c r="C21" s="84">
        <v>349754</v>
      </c>
      <c r="D21" s="85"/>
      <c r="E21" s="84">
        <v>300044</v>
      </c>
      <c r="F21" s="144"/>
      <c r="G21" s="140">
        <f t="shared" si="4"/>
        <v>49710</v>
      </c>
      <c r="H21" s="139">
        <f t="shared" si="5"/>
        <v>0.16567570089720185</v>
      </c>
      <c r="I21" s="152"/>
      <c r="J21" s="133"/>
      <c r="K21" s="20" t="s">
        <v>205</v>
      </c>
      <c r="L21" s="258">
        <v>885153</v>
      </c>
      <c r="M21" s="259"/>
      <c r="N21" s="258">
        <v>963920</v>
      </c>
      <c r="O21" s="144"/>
      <c r="P21" s="140">
        <f t="shared" si="6"/>
        <v>-78767</v>
      </c>
      <c r="Q21" s="139">
        <f t="shared" si="7"/>
        <v>-8.1715287575732432E-2</v>
      </c>
    </row>
    <row r="22" spans="2:17" x14ac:dyDescent="0.2">
      <c r="B22" s="146"/>
      <c r="C22" s="257">
        <f>C21+C20</f>
        <v>4752766</v>
      </c>
      <c r="D22" s="257"/>
      <c r="E22" s="257">
        <f>E21+E20</f>
        <v>4372138</v>
      </c>
      <c r="F22" s="146"/>
      <c r="G22" s="254">
        <f t="shared" si="4"/>
        <v>380628</v>
      </c>
      <c r="H22" s="255">
        <f t="shared" si="5"/>
        <v>8.7057636332613431E-2</v>
      </c>
      <c r="I22" s="154"/>
      <c r="J22" s="147"/>
      <c r="K22" s="146"/>
      <c r="L22" s="257">
        <f>L21+L20</f>
        <v>14370991</v>
      </c>
      <c r="M22" s="257"/>
      <c r="N22" s="257">
        <f>N21+N20</f>
        <v>13642058</v>
      </c>
      <c r="O22" s="146"/>
      <c r="P22" s="254">
        <f t="shared" si="6"/>
        <v>728933</v>
      </c>
      <c r="Q22" s="255">
        <f t="shared" si="7"/>
        <v>5.3432773852742699E-2</v>
      </c>
    </row>
    <row r="23" spans="2:17" x14ac:dyDescent="0.2">
      <c r="I23" s="152"/>
    </row>
    <row r="24" spans="2:17" x14ac:dyDescent="0.2">
      <c r="B24" s="71" t="s">
        <v>212</v>
      </c>
      <c r="I24" s="152"/>
      <c r="K24" s="71" t="s">
        <v>212</v>
      </c>
    </row>
    <row r="25" spans="2:17" x14ac:dyDescent="0.2">
      <c r="B25" s="58" t="str">
        <f>$B$3</f>
        <v xml:space="preserve">Q3'23 vs Q3'22 </v>
      </c>
      <c r="I25" s="152"/>
      <c r="K25" s="58" t="str">
        <f>$B$3</f>
        <v xml:space="preserve">Q3'23 vs Q3'22 </v>
      </c>
    </row>
    <row r="26" spans="2:17" x14ac:dyDescent="0.2">
      <c r="B26" s="50" t="s">
        <v>299</v>
      </c>
      <c r="I26" s="152"/>
      <c r="K26" s="50" t="s">
        <v>202</v>
      </c>
    </row>
    <row r="27" spans="2:17" x14ac:dyDescent="0.2">
      <c r="C27" s="151" t="s">
        <v>203</v>
      </c>
      <c r="D27" s="135"/>
      <c r="E27" s="151" t="s">
        <v>203</v>
      </c>
      <c r="I27" s="152"/>
      <c r="L27" s="151" t="s">
        <v>203</v>
      </c>
      <c r="M27" s="135"/>
      <c r="N27" s="151" t="s">
        <v>203</v>
      </c>
    </row>
    <row r="28" spans="2:17" x14ac:dyDescent="0.2">
      <c r="B28" s="136"/>
      <c r="C28" s="151" t="str">
        <f>$C$6</f>
        <v>Q3'23</v>
      </c>
      <c r="D28" s="135"/>
      <c r="E28" s="151" t="str">
        <f>$E$6</f>
        <v>Q3'22</v>
      </c>
      <c r="G28" s="171" t="s">
        <v>204</v>
      </c>
      <c r="H28" s="151" t="s">
        <v>27</v>
      </c>
      <c r="I28" s="152"/>
      <c r="K28" s="136"/>
      <c r="L28" s="151" t="str">
        <f>$L$6</f>
        <v>Sep YTD 2023</v>
      </c>
      <c r="M28" s="135"/>
      <c r="N28" s="151" t="str">
        <f>$N$6</f>
        <v>Sep YTD 2022</v>
      </c>
      <c r="P28" s="171" t="s">
        <v>204</v>
      </c>
      <c r="Q28" s="151" t="s">
        <v>27</v>
      </c>
    </row>
    <row r="29" spans="2:17" x14ac:dyDescent="0.2">
      <c r="H29" s="137"/>
      <c r="I29" s="152"/>
      <c r="Q29" s="137"/>
    </row>
    <row r="30" spans="2:17" x14ac:dyDescent="0.2">
      <c r="B30" s="20" t="s">
        <v>205</v>
      </c>
      <c r="C30" s="86">
        <f>128277.055352939*(('2023 IR Data Book'!$A$5))</f>
        <v>34928.131392729672</v>
      </c>
      <c r="D30" s="138">
        <f>C30/$C$36</f>
        <v>0.23946132776177195</v>
      </c>
      <c r="E30" s="86">
        <f>145422.532245843*(('2023 IR Data Book'!$A$5))</f>
        <v>39596.616088287046</v>
      </c>
      <c r="F30" s="138">
        <f>E30/$E$36</f>
        <v>0.24986460318544523</v>
      </c>
      <c r="G30" s="140">
        <f>C30-E30</f>
        <v>-4668.4846955573739</v>
      </c>
      <c r="H30" s="139">
        <f>(C30/E30)-1</f>
        <v>-0.11790110258786346</v>
      </c>
      <c r="I30" s="152"/>
      <c r="K30" s="20" t="s">
        <v>205</v>
      </c>
      <c r="L30" s="86">
        <f>415657.297252637*(('2023 IR Data Book'!$A$5))</f>
        <v>113177.93858646108</v>
      </c>
      <c r="M30" s="138">
        <f>L30/$L$36</f>
        <v>0.25325082431437734</v>
      </c>
      <c r="N30" s="86">
        <f>449594.324844216*(('2023 IR Data Book'!$A$5))</f>
        <v>122418.53859505962</v>
      </c>
      <c r="O30" s="138">
        <f>N30/$N$36</f>
        <v>0.25906356666453789</v>
      </c>
      <c r="P30" s="140">
        <f>L30-N30</f>
        <v>-9240.6000085985434</v>
      </c>
      <c r="Q30" s="139">
        <f>(L30/N30)-1</f>
        <v>-7.5483665420683743E-2</v>
      </c>
    </row>
    <row r="31" spans="2:17" x14ac:dyDescent="0.2">
      <c r="B31" s="20" t="s">
        <v>206</v>
      </c>
      <c r="C31" s="86">
        <f>149287.442707819*(('2023 IR Data Book'!$A$5))</f>
        <v>40648.979662315251</v>
      </c>
      <c r="D31" s="138">
        <f t="shared" ref="D31:D34" si="8">C31/$C$36</f>
        <v>0.27868249041588827</v>
      </c>
      <c r="E31" s="86">
        <f>147943.456445721*(('2023 IR Data Book'!$A$5))</f>
        <v>40283.030127354192</v>
      </c>
      <c r="F31" s="138">
        <f t="shared" ref="F31:F34" si="9">E31/$E$36</f>
        <v>0.25419604835515419</v>
      </c>
      <c r="G31" s="140">
        <f t="shared" ref="G31:G34" si="10">C31-E31</f>
        <v>365.94953496105882</v>
      </c>
      <c r="H31" s="139">
        <f>(C31/E31)-1</f>
        <v>9.0844589844436552E-3</v>
      </c>
      <c r="I31" s="152"/>
      <c r="K31" s="20" t="s">
        <v>206</v>
      </c>
      <c r="L31" s="86">
        <f>444762.482394998*(('2023 IR Data Book'!$A$5))</f>
        <v>121102.89233649131</v>
      </c>
      <c r="M31" s="138">
        <f>L31/$L$36</f>
        <v>0.27098397173617139</v>
      </c>
      <c r="N31" s="86">
        <f>442317.901629077*(('2023 IR Data Book'!$A$5))</f>
        <v>120437.26559632874</v>
      </c>
      <c r="O31" s="138">
        <f>N31/$N$36</f>
        <v>0.25487077319160484</v>
      </c>
      <c r="P31" s="140">
        <f t="shared" ref="P31:P34" si="11">L31-N31</f>
        <v>665.62674016256642</v>
      </c>
      <c r="Q31" s="139">
        <f>(L31/N31)-1</f>
        <v>5.5267506852367809E-3</v>
      </c>
    </row>
    <row r="32" spans="2:17" x14ac:dyDescent="0.2">
      <c r="B32" s="20" t="s">
        <v>207</v>
      </c>
      <c r="C32" s="86">
        <f>200652.048551983*(('2023 IR Data Book'!$A$5))</f>
        <v>54634.876804439089</v>
      </c>
      <c r="D32" s="138">
        <f t="shared" si="8"/>
        <v>0.3745674223046197</v>
      </c>
      <c r="E32" s="86">
        <f>224461.588496037*(('2023 IR Data Book'!$A$5))</f>
        <v>61117.896992876158</v>
      </c>
      <c r="F32" s="138">
        <f t="shared" si="9"/>
        <v>0.38566929672991029</v>
      </c>
      <c r="G32" s="81">
        <f t="shared" si="10"/>
        <v>-6483.020188437069</v>
      </c>
      <c r="H32" s="82">
        <f>(C32/E32)-1</f>
        <v>-0.10607400626354546</v>
      </c>
      <c r="I32" s="152"/>
      <c r="K32" s="20" t="s">
        <v>207</v>
      </c>
      <c r="L32" s="86">
        <f>593065.66503327*(('2023 IR Data Book'!$A$5))</f>
        <v>161483.87110855253</v>
      </c>
      <c r="M32" s="138">
        <f>L32/$L$36</f>
        <v>0.36134183024084315</v>
      </c>
      <c r="N32" s="86">
        <f>650946.068818159*(('2023 IR Data Book'!$A$5))</f>
        <v>177243.93313133993</v>
      </c>
      <c r="O32" s="138">
        <f>N32/$N$36</f>
        <v>0.37508571833669024</v>
      </c>
      <c r="P32" s="81">
        <f t="shared" si="11"/>
        <v>-15760.062022787402</v>
      </c>
      <c r="Q32" s="82">
        <f>(L32/N32)-1</f>
        <v>-8.8917356686668669E-2</v>
      </c>
    </row>
    <row r="33" spans="2:17" x14ac:dyDescent="0.2">
      <c r="B33" s="20" t="s">
        <v>208</v>
      </c>
      <c r="C33" s="86">
        <f>56540.3402301419*(('2023 IR Data Book'!$A$5))</f>
        <v>15395.180588722402</v>
      </c>
      <c r="D33" s="138">
        <f t="shared" si="8"/>
        <v>0.10554673948790411</v>
      </c>
      <c r="E33" s="86">
        <f>62342.0561237393*(('2023 IR Data Book'!$A$5))</f>
        <v>16974.910451380299</v>
      </c>
      <c r="F33" s="138">
        <f t="shared" si="9"/>
        <v>0.10711595290328987</v>
      </c>
      <c r="G33" s="140">
        <f t="shared" si="10"/>
        <v>-1579.7298626578977</v>
      </c>
      <c r="H33" s="139">
        <f>(C33/E33)-1</f>
        <v>-9.3062633065580824E-2</v>
      </c>
      <c r="I33" s="152"/>
      <c r="K33" s="20" t="s">
        <v>208</v>
      </c>
      <c r="L33" s="86">
        <f>182996.512032644*(('2023 IR Data Book'!$A$5))</f>
        <v>49827.509675065077</v>
      </c>
      <c r="M33" s="138">
        <f>L33/$L$36</f>
        <v>0.11149573897834161</v>
      </c>
      <c r="N33" s="86">
        <f>186871.885052487*(('2023 IR Data Book'!$A$5))</f>
        <v>50882.722064065507</v>
      </c>
      <c r="O33" s="138">
        <f>N33/$N$36</f>
        <v>0.10767862131666683</v>
      </c>
      <c r="P33" s="140">
        <f t="shared" si="11"/>
        <v>-1055.2123890004295</v>
      </c>
      <c r="Q33" s="139">
        <f>(L33/N33)-1</f>
        <v>-2.0738127721858679E-2</v>
      </c>
    </row>
    <row r="34" spans="2:17" x14ac:dyDescent="0.2">
      <c r="B34" s="20" t="s">
        <v>209</v>
      </c>
      <c r="C34" s="86">
        <f>933.182831145602*(('2023 IR Data Book'!$A$5))</f>
        <v>254.09323943407992</v>
      </c>
      <c r="D34" s="138">
        <f t="shared" si="8"/>
        <v>1.7420200298158424E-3</v>
      </c>
      <c r="E34" s="86">
        <f>1835.70234603933*(('2023 IR Data Book'!$A$5))</f>
        <v>499.83726679718183</v>
      </c>
      <c r="F34" s="138">
        <f t="shared" si="9"/>
        <v>3.1540988262004329E-3</v>
      </c>
      <c r="G34" s="140">
        <f t="shared" si="10"/>
        <v>-245.74402736310191</v>
      </c>
      <c r="H34" s="139">
        <f>(C34/E34)-1</f>
        <v>-0.49164806965627283</v>
      </c>
      <c r="I34" s="152"/>
      <c r="K34" s="20" t="s">
        <v>209</v>
      </c>
      <c r="L34" s="86">
        <f>4805.08895724228*(('2023 IR Data Book'!$A$5))</f>
        <v>1308.3616395039699</v>
      </c>
      <c r="M34" s="138">
        <f>L34/$L$36</f>
        <v>2.9276347302664828E-3</v>
      </c>
      <c r="N34" s="86">
        <f>5729.30796920114*(('2023 IR Data Book'!$A$5))</f>
        <v>1560.0141505203778</v>
      </c>
      <c r="O34" s="138">
        <f>N34/$N$36</f>
        <v>3.3013204905001873E-3</v>
      </c>
      <c r="P34" s="140">
        <f t="shared" si="11"/>
        <v>-251.65251101640797</v>
      </c>
      <c r="Q34" s="139">
        <f>(L34/N34)-1</f>
        <v>-0.16131424893323154</v>
      </c>
    </row>
    <row r="35" spans="2:17" x14ac:dyDescent="0.2">
      <c r="C35" s="86"/>
      <c r="D35" s="138"/>
      <c r="E35" s="86"/>
      <c r="F35" s="138"/>
      <c r="G35" s="140"/>
      <c r="H35" s="139"/>
      <c r="I35" s="152"/>
      <c r="L35" s="86"/>
      <c r="M35" s="138"/>
      <c r="N35" s="86"/>
      <c r="O35" s="138"/>
      <c r="P35" s="140"/>
      <c r="Q35" s="139"/>
    </row>
    <row r="36" spans="2:17" x14ac:dyDescent="0.2">
      <c r="B36" s="71" t="s">
        <v>210</v>
      </c>
      <c r="C36" s="87">
        <f>SUM(C30:C34)</f>
        <v>145861.26168764051</v>
      </c>
      <c r="D36" s="138">
        <f>C36/$C$36</f>
        <v>1</v>
      </c>
      <c r="E36" s="87">
        <f>SUM(E30:E34)</f>
        <v>158472.29092669487</v>
      </c>
      <c r="F36" s="138">
        <f>E36/$E$36</f>
        <v>1</v>
      </c>
      <c r="G36" s="141">
        <f>C36-E36</f>
        <v>-12611.029239054362</v>
      </c>
      <c r="H36" s="142">
        <f>(C36/E36)-1</f>
        <v>-7.9578765254853856E-2</v>
      </c>
      <c r="I36" s="222">
        <f>C36/$C$201</f>
        <v>0.39690218696544005</v>
      </c>
      <c r="K36" s="71" t="s">
        <v>210</v>
      </c>
      <c r="L36" s="87">
        <f>SUM(L30:L34)</f>
        <v>446900.57334607397</v>
      </c>
      <c r="M36" s="138">
        <f>L36/$L$36</f>
        <v>1</v>
      </c>
      <c r="N36" s="87">
        <f>SUM(N30:N34)</f>
        <v>472542.47353731416</v>
      </c>
      <c r="O36" s="138">
        <f>N36/$N$36</f>
        <v>1</v>
      </c>
      <c r="P36" s="141">
        <f>L36-N36</f>
        <v>-25641.900191240187</v>
      </c>
      <c r="Q36" s="142">
        <f>(L36/N36)-1</f>
        <v>-5.4263694011021824E-2</v>
      </c>
    </row>
    <row r="37" spans="2:17" x14ac:dyDescent="0.2">
      <c r="C37" s="86"/>
      <c r="D37" s="143"/>
      <c r="E37" s="86"/>
      <c r="F37" s="143"/>
      <c r="G37" s="172"/>
      <c r="H37" s="139"/>
      <c r="I37" s="222">
        <f>E36/$E$201</f>
        <v>0.40806671602574485</v>
      </c>
      <c r="L37" s="86">
        <v>0</v>
      </c>
      <c r="M37" s="143"/>
      <c r="N37" s="86">
        <v>0</v>
      </c>
      <c r="O37" s="143"/>
      <c r="P37" s="172"/>
      <c r="Q37" s="139"/>
    </row>
    <row r="38" spans="2:17" x14ac:dyDescent="0.2">
      <c r="B38" s="71" t="s">
        <v>31</v>
      </c>
      <c r="C38" s="87">
        <f>128648.456992041*(('2023 IR Data Book'!$A$5))</f>
        <v>35029.259105821759</v>
      </c>
      <c r="D38" s="138">
        <f>C38/$C$36</f>
        <v>0.24015464216151058</v>
      </c>
      <c r="E38" s="87">
        <f>106423.210079532*(('2023 IR Data Book'!$A$5))</f>
        <v>28977.620780790719</v>
      </c>
      <c r="F38" s="138">
        <f>E38/$E$36</f>
        <v>0.18285607289033898</v>
      </c>
      <c r="G38" s="141">
        <f>C38-E38</f>
        <v>6051.6383250310391</v>
      </c>
      <c r="H38" s="142">
        <f>(C38/E38)-1</f>
        <v>0.2088383435897081</v>
      </c>
      <c r="I38" s="155"/>
      <c r="K38" s="71" t="s">
        <v>31</v>
      </c>
      <c r="L38" s="87">
        <f>393557.160049608*(('2023 IR Data Book'!$A$5))</f>
        <v>107160.3659667832</v>
      </c>
      <c r="M38" s="138">
        <f>L38/$L$36</f>
        <v>0.23978569811276479</v>
      </c>
      <c r="N38" s="87">
        <f>340874.889657966*(('2023 IR Data Book'!$A$5))</f>
        <v>92815.686341547116</v>
      </c>
      <c r="O38" s="138">
        <f>N38/$N$36</f>
        <v>0.19641765881224635</v>
      </c>
      <c r="P38" s="141">
        <f>L38-N38</f>
        <v>14344.67962523608</v>
      </c>
      <c r="Q38" s="142">
        <f>(L38/N38)-1</f>
        <v>0.15455016485521544</v>
      </c>
    </row>
    <row r="39" spans="2:17" x14ac:dyDescent="0.2">
      <c r="I39" s="152"/>
    </row>
    <row r="40" spans="2:17" x14ac:dyDescent="0.2">
      <c r="B40" s="71" t="s">
        <v>211</v>
      </c>
      <c r="C40" s="151" t="str">
        <f>$C$6</f>
        <v>Q3'23</v>
      </c>
      <c r="D40" s="135"/>
      <c r="E40" s="151" t="str">
        <f>$E$6</f>
        <v>Q3'22</v>
      </c>
      <c r="G40" s="171" t="s">
        <v>204</v>
      </c>
      <c r="H40" s="151" t="s">
        <v>27</v>
      </c>
      <c r="I40" s="152"/>
      <c r="K40" s="71" t="s">
        <v>211</v>
      </c>
      <c r="L40" s="151" t="str">
        <f>$L$6</f>
        <v>Sep YTD 2023</v>
      </c>
      <c r="M40" s="135"/>
      <c r="N40" s="151" t="str">
        <f>$N$6</f>
        <v>Sep YTD 2022</v>
      </c>
      <c r="P40" s="171" t="s">
        <v>204</v>
      </c>
      <c r="Q40" s="151" t="s">
        <v>27</v>
      </c>
    </row>
    <row r="41" spans="2:17" x14ac:dyDescent="0.2">
      <c r="B41" s="20" t="s">
        <v>206</v>
      </c>
      <c r="C41" s="83">
        <v>8201765</v>
      </c>
      <c r="D41" s="83"/>
      <c r="E41" s="83">
        <v>8033836</v>
      </c>
      <c r="F41" s="89"/>
      <c r="G41" s="140">
        <f t="shared" ref="G41:G43" si="12">C41-E41</f>
        <v>167929</v>
      </c>
      <c r="H41" s="139">
        <f t="shared" ref="H41:H43" si="13">(C41/E41)-1</f>
        <v>2.0902716958623557E-2</v>
      </c>
      <c r="I41" s="153"/>
      <c r="K41" s="20" t="s">
        <v>206</v>
      </c>
      <c r="L41" s="83">
        <v>24798910</v>
      </c>
      <c r="M41" s="83"/>
      <c r="N41" s="83">
        <v>24319982</v>
      </c>
      <c r="O41" s="89"/>
      <c r="P41" s="140">
        <f t="shared" ref="P41:P43" si="14">L41-N41</f>
        <v>478928</v>
      </c>
      <c r="Q41" s="139">
        <f t="shared" ref="Q41:Q43" si="15">(L41/N41)-1</f>
        <v>1.9692777733141487E-2</v>
      </c>
    </row>
    <row r="42" spans="2:17" x14ac:dyDescent="0.2">
      <c r="B42" s="20" t="s">
        <v>205</v>
      </c>
      <c r="C42" s="258">
        <v>1203881</v>
      </c>
      <c r="D42" s="259"/>
      <c r="E42" s="258">
        <v>1442384</v>
      </c>
      <c r="F42" s="144"/>
      <c r="G42" s="140">
        <f t="shared" si="12"/>
        <v>-238503</v>
      </c>
      <c r="H42" s="139">
        <f t="shared" si="13"/>
        <v>-0.16535333170639721</v>
      </c>
      <c r="I42" s="152"/>
      <c r="J42" s="133"/>
      <c r="K42" s="71" t="s">
        <v>205</v>
      </c>
      <c r="L42" s="258">
        <v>3919894</v>
      </c>
      <c r="M42" s="259"/>
      <c r="N42" s="258">
        <v>4550974</v>
      </c>
      <c r="O42" s="144"/>
      <c r="P42" s="140">
        <f t="shared" si="14"/>
        <v>-631080</v>
      </c>
      <c r="Q42" s="139">
        <f t="shared" si="15"/>
        <v>-0.13866921674349275</v>
      </c>
    </row>
    <row r="43" spans="2:17" x14ac:dyDescent="0.2">
      <c r="B43" s="146"/>
      <c r="C43" s="257">
        <f>C42+C41</f>
        <v>9405646</v>
      </c>
      <c r="D43" s="257"/>
      <c r="E43" s="257">
        <f>E42+E41</f>
        <v>9476220</v>
      </c>
      <c r="F43" s="146"/>
      <c r="G43" s="254">
        <f t="shared" si="12"/>
        <v>-70574</v>
      </c>
      <c r="H43" s="255">
        <f t="shared" si="13"/>
        <v>-7.4474843344709551E-3</v>
      </c>
      <c r="I43" s="154"/>
      <c r="K43" s="146"/>
      <c r="L43" s="257">
        <f>L42+L41</f>
        <v>28718804</v>
      </c>
      <c r="M43" s="257"/>
      <c r="N43" s="257">
        <f>N42+N41</f>
        <v>28870956</v>
      </c>
      <c r="O43" s="146"/>
      <c r="P43" s="254">
        <f t="shared" si="14"/>
        <v>-152152</v>
      </c>
      <c r="Q43" s="255">
        <f t="shared" si="15"/>
        <v>-5.2700714171016738E-3</v>
      </c>
    </row>
    <row r="44" spans="2:17" x14ac:dyDescent="0.2">
      <c r="I44" s="152"/>
    </row>
    <row r="45" spans="2:17" x14ac:dyDescent="0.2">
      <c r="B45" s="71" t="s">
        <v>192</v>
      </c>
      <c r="I45" s="152"/>
      <c r="K45" s="71" t="s">
        <v>192</v>
      </c>
    </row>
    <row r="46" spans="2:17" x14ac:dyDescent="0.2">
      <c r="B46" s="58" t="str">
        <f>$B$3</f>
        <v xml:space="preserve">Q3'23 vs Q3'22 </v>
      </c>
      <c r="I46" s="152"/>
      <c r="K46" s="58" t="str">
        <f>$B$3</f>
        <v xml:space="preserve">Q3'23 vs Q3'22 </v>
      </c>
    </row>
    <row r="47" spans="2:17" x14ac:dyDescent="0.2">
      <c r="B47" s="50" t="s">
        <v>299</v>
      </c>
      <c r="I47" s="152"/>
      <c r="K47" s="50" t="s">
        <v>202</v>
      </c>
    </row>
    <row r="48" spans="2:17" x14ac:dyDescent="0.2">
      <c r="C48" s="151" t="s">
        <v>203</v>
      </c>
      <c r="D48" s="135"/>
      <c r="E48" s="151" t="s">
        <v>203</v>
      </c>
      <c r="I48" s="152"/>
      <c r="L48" s="151" t="s">
        <v>203</v>
      </c>
      <c r="M48" s="135"/>
      <c r="N48" s="151" t="s">
        <v>203</v>
      </c>
    </row>
    <row r="49" spans="2:17" x14ac:dyDescent="0.2">
      <c r="B49" s="136"/>
      <c r="C49" s="151" t="str">
        <f>$C$6</f>
        <v>Q3'23</v>
      </c>
      <c r="D49" s="135"/>
      <c r="E49" s="151" t="str">
        <f>$E$6</f>
        <v>Q3'22</v>
      </c>
      <c r="G49" s="171" t="s">
        <v>204</v>
      </c>
      <c r="H49" s="151" t="s">
        <v>27</v>
      </c>
      <c r="I49" s="152"/>
      <c r="K49" s="136"/>
      <c r="L49" s="151" t="str">
        <f>$L$6</f>
        <v>Sep YTD 2023</v>
      </c>
      <c r="M49" s="135"/>
      <c r="N49" s="151" t="str">
        <f>$N$6</f>
        <v>Sep YTD 2022</v>
      </c>
      <c r="P49" s="171" t="s">
        <v>204</v>
      </c>
      <c r="Q49" s="151" t="s">
        <v>27</v>
      </c>
    </row>
    <row r="50" spans="2:17" x14ac:dyDescent="0.2">
      <c r="H50" s="137"/>
      <c r="I50" s="152"/>
      <c r="Q50" s="137"/>
    </row>
    <row r="51" spans="2:17" x14ac:dyDescent="0.2">
      <c r="B51" s="20" t="s">
        <v>205</v>
      </c>
      <c r="C51" s="86">
        <f>17924.0735715624*(('2023 IR Data Book'!$A$5))</f>
        <v>4880.4861873229856</v>
      </c>
      <c r="D51" s="138">
        <f>C51/$C$57</f>
        <v>0.25126146485653111</v>
      </c>
      <c r="E51" s="86">
        <f>18220.8349228555*(('2023 IR Data Book'!$A$5))</f>
        <v>4961.2903454924308</v>
      </c>
      <c r="F51" s="138">
        <f>E51/$E$57</f>
        <v>0.2100096050589228</v>
      </c>
      <c r="G51" s="140">
        <f>C51-E51</f>
        <v>-80.804158169445145</v>
      </c>
      <c r="H51" s="139">
        <f>(C51/E51)-1</f>
        <v>-1.6286923873112924E-2</v>
      </c>
      <c r="I51" s="152"/>
      <c r="K51" s="20" t="s">
        <v>205</v>
      </c>
      <c r="L51" s="86">
        <f>53289.3802124633*(('2023 IR Data Book'!$A$5))</f>
        <v>14509.987532664407</v>
      </c>
      <c r="M51" s="138">
        <f>L51/$L$57</f>
        <v>0.2335904057361827</v>
      </c>
      <c r="N51" s="86">
        <f>57280.0049517344*(('2023 IR Data Book'!$A$5))</f>
        <v>15596.581427798943</v>
      </c>
      <c r="O51" s="138">
        <f>N51/$N$57</f>
        <v>0.217744027903093</v>
      </c>
      <c r="P51" s="140">
        <f>L51-N51</f>
        <v>-1086.5938951345361</v>
      </c>
      <c r="Q51" s="139">
        <f>(L51/N51)-1</f>
        <v>-6.9668721967354963E-2</v>
      </c>
    </row>
    <row r="52" spans="2:17" x14ac:dyDescent="0.2">
      <c r="B52" s="20" t="s">
        <v>206</v>
      </c>
      <c r="C52" s="86">
        <f>34362.4695815461*(('2023 IR Data Book'!$A$5))</f>
        <v>9356.4421885166103</v>
      </c>
      <c r="D52" s="138">
        <f t="shared" ref="D52:D55" si="16">C52/$C$57</f>
        <v>0.48169655233091435</v>
      </c>
      <c r="E52" s="86">
        <f>41221.4478191849*(('2023 IR Data Book'!$A$5))</f>
        <v>11224.050487171186</v>
      </c>
      <c r="F52" s="138">
        <f t="shared" ref="F52:F55" si="17">E52/$E$57</f>
        <v>0.4751099504010729</v>
      </c>
      <c r="G52" s="140">
        <f t="shared" ref="G52:G55" si="18">C52-E52</f>
        <v>-1867.6082986545753</v>
      </c>
      <c r="H52" s="139">
        <f>(C52/E52)-1</f>
        <v>-0.16639343352822633</v>
      </c>
      <c r="I52" s="152"/>
      <c r="K52" s="20" t="s">
        <v>206</v>
      </c>
      <c r="L52" s="86">
        <f>104290.499059451*(('2023 IR Data Book'!$A$5))</f>
        <v>28396.912013138102</v>
      </c>
      <c r="M52" s="138">
        <f>L52/$L$57</f>
        <v>0.45715037203657577</v>
      </c>
      <c r="N52" s="86">
        <f>123700.714929499*(('2023 IR Data Book'!$A$5))</f>
        <v>33682.05492825219</v>
      </c>
      <c r="O52" s="138">
        <f>N52/$N$57</f>
        <v>0.4702355027018168</v>
      </c>
      <c r="P52" s="140">
        <f t="shared" ref="P52:P55" si="19">L52-N52</f>
        <v>-5285.1429151140874</v>
      </c>
      <c r="Q52" s="139">
        <f>(L52/N52)-1</f>
        <v>-0.15691272181499116</v>
      </c>
    </row>
    <row r="53" spans="2:17" x14ac:dyDescent="0.2">
      <c r="B53" s="20" t="s">
        <v>207</v>
      </c>
      <c r="C53" s="86">
        <f>12821.2208786743*(('2023 IR Data Book'!$A$5))</f>
        <v>3491.0474537587265</v>
      </c>
      <c r="D53" s="138">
        <f t="shared" si="16"/>
        <v>0.17972916292510155</v>
      </c>
      <c r="E53" s="86">
        <f>21073.4098230838*(('2023 IR Data Book'!$A$5))</f>
        <v>5738.0084471719756</v>
      </c>
      <c r="F53" s="138">
        <f t="shared" si="17"/>
        <v>0.24288779811288067</v>
      </c>
      <c r="G53" s="81">
        <f t="shared" si="18"/>
        <v>-2246.9609934132491</v>
      </c>
      <c r="H53" s="82">
        <f>(C53/E53)-1</f>
        <v>-0.39159248615618236</v>
      </c>
      <c r="I53" s="152"/>
      <c r="K53" s="20" t="s">
        <v>207</v>
      </c>
      <c r="L53" s="86">
        <f>53302.0066256035*(('2023 IR Data Book'!$A$5))</f>
        <v>14513.425536569051</v>
      </c>
      <c r="M53" s="138">
        <f>L53/$L$57</f>
        <v>0.2336457527669917</v>
      </c>
      <c r="N53" s="86">
        <f>64910.6139459247*(('2023 IR Data Book'!$A$5))</f>
        <v>17674.294490531149</v>
      </c>
      <c r="O53" s="138">
        <f>N53/$N$57</f>
        <v>0.24675100056569321</v>
      </c>
      <c r="P53" s="81">
        <f t="shared" si="19"/>
        <v>-3160.8689539620973</v>
      </c>
      <c r="Q53" s="82">
        <f>(L53/N53)-1</f>
        <v>-0.17883989404247536</v>
      </c>
    </row>
    <row r="54" spans="2:17" x14ac:dyDescent="0.2">
      <c r="B54" s="20" t="s">
        <v>208</v>
      </c>
      <c r="C54" s="86">
        <f>2793.14447006046*(('2023 IR Data Book'!$A$5))</f>
        <v>760.53598814476391</v>
      </c>
      <c r="D54" s="138">
        <f t="shared" si="16"/>
        <v>3.9154579917411898E-2</v>
      </c>
      <c r="E54" s="86">
        <f>2939.6916831551*(('2023 IR Data Book'!$A$5))</f>
        <v>800.43883982875877</v>
      </c>
      <c r="F54" s="138">
        <f t="shared" si="17"/>
        <v>3.3882283220732431E-2</v>
      </c>
      <c r="G54" s="140">
        <f t="shared" si="18"/>
        <v>-39.902851683994868</v>
      </c>
      <c r="H54" s="139">
        <f>(C54/E54)-1</f>
        <v>-4.9851218729630165E-2</v>
      </c>
      <c r="I54" s="152"/>
      <c r="K54" s="20" t="s">
        <v>208</v>
      </c>
      <c r="L54" s="86">
        <f>8485.77810784166*(('2023 IR Data Book'!$A$5))</f>
        <v>2310.5642073304089</v>
      </c>
      <c r="M54" s="138">
        <f>L54/$L$57</f>
        <v>3.7196836279479839E-2</v>
      </c>
      <c r="N54" s="86">
        <f>9015.5801175846*(('2023 IR Data Book'!$A$5))</f>
        <v>2454.8222288255188</v>
      </c>
      <c r="O54" s="138">
        <f>N54/$N$57</f>
        <v>3.4271797468244991E-2</v>
      </c>
      <c r="P54" s="140">
        <f t="shared" si="19"/>
        <v>-144.25802149510992</v>
      </c>
      <c r="Q54" s="139">
        <f>(L54/N54)-1</f>
        <v>-5.8765160181936449E-2</v>
      </c>
    </row>
    <row r="55" spans="2:17" x14ac:dyDescent="0.2">
      <c r="B55" s="20" t="s">
        <v>209</v>
      </c>
      <c r="C55" s="86">
        <f>3435.43263505549*(('2023 IR Data Book'!$A$5))</f>
        <v>935.42248953207263</v>
      </c>
      <c r="D55" s="138">
        <f t="shared" si="16"/>
        <v>4.8158239970041178E-2</v>
      </c>
      <c r="E55" s="86">
        <f>3306.52798779794*(('2023 IR Data Book'!$A$5))</f>
        <v>900.32347323366002</v>
      </c>
      <c r="F55" s="138">
        <f t="shared" si="17"/>
        <v>3.8110363206391197E-2</v>
      </c>
      <c r="G55" s="140">
        <f t="shared" si="18"/>
        <v>35.099016298412607</v>
      </c>
      <c r="H55" s="139">
        <f>(C55/E55)-1</f>
        <v>3.8984895253645568E-2</v>
      </c>
      <c r="I55" s="152"/>
      <c r="K55" s="20" t="s">
        <v>209</v>
      </c>
      <c r="L55" s="86">
        <f>8764.05246868268*(('2023 IR Data Book'!$A$5))</f>
        <v>2386.3346045533626</v>
      </c>
      <c r="M55" s="138">
        <f>L55/$L$57</f>
        <v>3.8416633180769905E-2</v>
      </c>
      <c r="N55" s="86">
        <f>8154.28457973242*(('2023 IR Data Book'!$A$5))</f>
        <v>2220.3029406231062</v>
      </c>
      <c r="O55" s="138">
        <f>N55/$N$57</f>
        <v>3.0997671361151911E-2</v>
      </c>
      <c r="P55" s="140">
        <f t="shared" si="19"/>
        <v>166.0316639302564</v>
      </c>
      <c r="Q55" s="139">
        <f>(L55/N55)-1</f>
        <v>7.4778833506233822E-2</v>
      </c>
    </row>
    <row r="56" spans="2:17" x14ac:dyDescent="0.2">
      <c r="C56" s="86"/>
      <c r="D56" s="138"/>
      <c r="E56" s="86"/>
      <c r="F56" s="138"/>
      <c r="G56" s="140"/>
      <c r="H56" s="139"/>
      <c r="I56" s="152"/>
      <c r="L56" s="86"/>
      <c r="M56" s="138"/>
      <c r="N56" s="86"/>
      <c r="O56" s="138"/>
      <c r="P56" s="140"/>
      <c r="Q56" s="139"/>
    </row>
    <row r="57" spans="2:17" x14ac:dyDescent="0.2">
      <c r="B57" s="71" t="s">
        <v>210</v>
      </c>
      <c r="C57" s="87">
        <f>SUM(C51:C55)</f>
        <v>19423.934307275158</v>
      </c>
      <c r="D57" s="138">
        <f>C57/$C$57</f>
        <v>1</v>
      </c>
      <c r="E57" s="87">
        <f>SUM(E51:E55)</f>
        <v>23624.111592898011</v>
      </c>
      <c r="F57" s="138">
        <f>E57/$E$57</f>
        <v>1</v>
      </c>
      <c r="G57" s="141">
        <f>C57-E57</f>
        <v>-4200.1772856228527</v>
      </c>
      <c r="H57" s="142">
        <f>(C57/E57)-1</f>
        <v>-0.1777919677151174</v>
      </c>
      <c r="I57" s="222">
        <f>C57/$C$201</f>
        <v>5.2854348830055423E-2</v>
      </c>
      <c r="K57" s="71" t="s">
        <v>210</v>
      </c>
      <c r="L57" s="87">
        <f>SUM(L51:L55)</f>
        <v>62117.223894255338</v>
      </c>
      <c r="M57" s="138">
        <f>L57/$L$57</f>
        <v>1</v>
      </c>
      <c r="N57" s="87">
        <f>SUM(N51:N55)</f>
        <v>71628.056016030911</v>
      </c>
      <c r="O57" s="138">
        <f>N57/$N$57</f>
        <v>1</v>
      </c>
      <c r="P57" s="141">
        <f>L57-N57</f>
        <v>-9510.8321217755729</v>
      </c>
      <c r="Q57" s="142">
        <f>(L57/N57)-1</f>
        <v>-0.1327808215212064</v>
      </c>
    </row>
    <row r="58" spans="2:17" x14ac:dyDescent="0.2">
      <c r="C58" s="86"/>
      <c r="D58" s="143"/>
      <c r="E58" s="86"/>
      <c r="F58" s="143"/>
      <c r="G58" s="172"/>
      <c r="H58" s="139"/>
      <c r="I58" s="222">
        <f>E57/$E$201</f>
        <v>6.0832171860246094E-2</v>
      </c>
      <c r="L58" s="86"/>
      <c r="M58" s="143"/>
      <c r="N58" s="86"/>
      <c r="O58" s="143"/>
      <c r="P58" s="172"/>
      <c r="Q58" s="139"/>
    </row>
    <row r="59" spans="2:17" x14ac:dyDescent="0.2">
      <c r="B59" s="71" t="s">
        <v>31</v>
      </c>
      <c r="C59" s="87">
        <f>27049.038752776*(('2023 IR Data Book'!$A$5))</f>
        <v>7365.0925101497569</v>
      </c>
      <c r="D59" s="138">
        <f>C59/$C$57</f>
        <v>0.37917614390773502</v>
      </c>
      <c r="E59" s="87">
        <f>27748.6977610643*(('2023 IR Data Book'!$A$5))</f>
        <v>7555.6003270337906</v>
      </c>
      <c r="F59" s="138">
        <f>E59/$E$57</f>
        <v>0.3198257973563412</v>
      </c>
      <c r="G59" s="141">
        <f>C59-E59</f>
        <v>-190.50781688403367</v>
      </c>
      <c r="H59" s="142">
        <f>(C59/E59)-1</f>
        <v>-2.5214120471989565E-2</v>
      </c>
      <c r="I59" s="152"/>
      <c r="K59" s="71" t="s">
        <v>31</v>
      </c>
      <c r="L59" s="87">
        <f>81101.2013067811*(('2023 IR Data Book'!$A$5))</f>
        <v>22082.77550149243</v>
      </c>
      <c r="M59" s="138">
        <f>L59/$L$57</f>
        <v>0.35550164861013156</v>
      </c>
      <c r="N59" s="87">
        <f>91496.5065735958*(('2023 IR Data Book'!$A$5))</f>
        <v>24913.278487609812</v>
      </c>
      <c r="O59" s="138">
        <f>N59/$N$57</f>
        <v>0.34781452789998973</v>
      </c>
      <c r="P59" s="141">
        <f>L59-N59</f>
        <v>-2830.5029861173825</v>
      </c>
      <c r="Q59" s="142">
        <f>(L59/N59)-1</f>
        <v>-0.11361423136361137</v>
      </c>
    </row>
    <row r="60" spans="2:17" x14ac:dyDescent="0.2">
      <c r="I60" s="152"/>
    </row>
    <row r="61" spans="2:17" x14ac:dyDescent="0.2">
      <c r="B61" s="71" t="s">
        <v>211</v>
      </c>
      <c r="C61" s="151" t="str">
        <f>$C$6</f>
        <v>Q3'23</v>
      </c>
      <c r="D61" s="135"/>
      <c r="E61" s="151" t="str">
        <f>$E$6</f>
        <v>Q3'22</v>
      </c>
      <c r="G61" s="171" t="s">
        <v>204</v>
      </c>
      <c r="H61" s="151" t="s">
        <v>27</v>
      </c>
      <c r="I61" s="152"/>
      <c r="K61" s="71" t="s">
        <v>211</v>
      </c>
      <c r="L61" s="151" t="str">
        <f>$L$6</f>
        <v>Sep YTD 2023</v>
      </c>
      <c r="M61" s="135"/>
      <c r="N61" s="151" t="str">
        <f>$N$6</f>
        <v>Sep YTD 2022</v>
      </c>
      <c r="P61" s="171" t="s">
        <v>204</v>
      </c>
      <c r="Q61" s="151" t="s">
        <v>27</v>
      </c>
    </row>
    <row r="62" spans="2:17" x14ac:dyDescent="0.2">
      <c r="B62" s="20" t="s">
        <v>206</v>
      </c>
      <c r="C62" s="83">
        <v>1346083</v>
      </c>
      <c r="D62" s="83"/>
      <c r="E62" s="83">
        <v>1512428</v>
      </c>
      <c r="F62" s="89"/>
      <c r="G62" s="140">
        <f t="shared" ref="G62:G64" si="20">C62-E62</f>
        <v>-166345</v>
      </c>
      <c r="H62" s="139">
        <f t="shared" ref="H62:H64" si="21">(C62/E62)-1</f>
        <v>-0.10998540095792986</v>
      </c>
      <c r="I62" s="153"/>
      <c r="K62" s="20" t="s">
        <v>206</v>
      </c>
      <c r="L62" s="83">
        <v>4016237</v>
      </c>
      <c r="M62" s="83"/>
      <c r="N62" s="83">
        <v>4509466</v>
      </c>
      <c r="O62" s="89"/>
      <c r="P62" s="140">
        <f t="shared" ref="P62:P64" si="22">L62-N62</f>
        <v>-493229</v>
      </c>
      <c r="Q62" s="139">
        <f t="shared" ref="Q62:Q64" si="23">(L62/N62)-1</f>
        <v>-0.10937636518381555</v>
      </c>
    </row>
    <row r="63" spans="2:17" x14ac:dyDescent="0.2">
      <c r="B63" s="20" t="s">
        <v>205</v>
      </c>
      <c r="C63" s="258">
        <v>70155</v>
      </c>
      <c r="D63" s="259"/>
      <c r="E63" s="258">
        <v>77756</v>
      </c>
      <c r="F63" s="144"/>
      <c r="G63" s="140">
        <f t="shared" si="20"/>
        <v>-7601</v>
      </c>
      <c r="H63" s="139">
        <f t="shared" si="21"/>
        <v>-9.7754514121096814E-2</v>
      </c>
      <c r="I63" s="152"/>
      <c r="J63" s="133"/>
      <c r="K63" s="20" t="s">
        <v>205</v>
      </c>
      <c r="L63" s="258">
        <v>213690</v>
      </c>
      <c r="M63" s="259"/>
      <c r="N63" s="258">
        <v>237683</v>
      </c>
      <c r="O63" s="144"/>
      <c r="P63" s="140">
        <f t="shared" si="22"/>
        <v>-23993</v>
      </c>
      <c r="Q63" s="139">
        <f t="shared" si="23"/>
        <v>-0.10094537682543558</v>
      </c>
    </row>
    <row r="64" spans="2:17" x14ac:dyDescent="0.2">
      <c r="B64" s="146"/>
      <c r="C64" s="257">
        <f>C63+C62</f>
        <v>1416238</v>
      </c>
      <c r="D64" s="257"/>
      <c r="E64" s="257">
        <f>E63+E62</f>
        <v>1590184</v>
      </c>
      <c r="F64" s="146"/>
      <c r="G64" s="254">
        <f t="shared" si="20"/>
        <v>-173946</v>
      </c>
      <c r="H64" s="255">
        <f t="shared" si="21"/>
        <v>-0.10938734133911543</v>
      </c>
      <c r="I64" s="154"/>
      <c r="J64" s="133"/>
      <c r="K64" s="146"/>
      <c r="L64" s="257">
        <f>L63+L62</f>
        <v>4229927</v>
      </c>
      <c r="M64" s="257"/>
      <c r="N64" s="257">
        <f>N63+N62</f>
        <v>4747149</v>
      </c>
      <c r="O64" s="146"/>
      <c r="P64" s="254">
        <f t="shared" si="22"/>
        <v>-517222</v>
      </c>
      <c r="Q64" s="255">
        <f t="shared" si="23"/>
        <v>-0.10895423758554867</v>
      </c>
    </row>
    <row r="65" spans="2:17" x14ac:dyDescent="0.2">
      <c r="I65" s="152"/>
    </row>
    <row r="66" spans="2:17" x14ac:dyDescent="0.2">
      <c r="B66" s="71" t="s">
        <v>193</v>
      </c>
      <c r="I66" s="152"/>
      <c r="K66" s="71" t="s">
        <v>193</v>
      </c>
    </row>
    <row r="67" spans="2:17" x14ac:dyDescent="0.2">
      <c r="B67" s="58" t="str">
        <f>$B$3</f>
        <v xml:space="preserve">Q3'23 vs Q3'22 </v>
      </c>
      <c r="I67" s="152"/>
      <c r="K67" s="58" t="str">
        <f>$B$3</f>
        <v xml:space="preserve">Q3'23 vs Q3'22 </v>
      </c>
    </row>
    <row r="68" spans="2:17" x14ac:dyDescent="0.2">
      <c r="B68" s="50" t="s">
        <v>299</v>
      </c>
      <c r="I68" s="152"/>
      <c r="K68" s="50" t="s">
        <v>202</v>
      </c>
    </row>
    <row r="69" spans="2:17" x14ac:dyDescent="0.2">
      <c r="C69" s="151" t="s">
        <v>203</v>
      </c>
      <c r="D69" s="135"/>
      <c r="E69" s="151" t="s">
        <v>203</v>
      </c>
      <c r="I69" s="152"/>
      <c r="L69" s="151" t="s">
        <v>203</v>
      </c>
      <c r="M69" s="135"/>
      <c r="N69" s="151" t="s">
        <v>203</v>
      </c>
    </row>
    <row r="70" spans="2:17" x14ac:dyDescent="0.2">
      <c r="B70" s="136"/>
      <c r="C70" s="151" t="str">
        <f>$C$6</f>
        <v>Q3'23</v>
      </c>
      <c r="D70" s="135"/>
      <c r="E70" s="151" t="str">
        <f>$E$6</f>
        <v>Q3'22</v>
      </c>
      <c r="G70" s="171" t="s">
        <v>204</v>
      </c>
      <c r="H70" s="151" t="s">
        <v>27</v>
      </c>
      <c r="I70" s="152"/>
      <c r="K70" s="136"/>
      <c r="L70" s="151" t="str">
        <f>$L$6</f>
        <v>Sep YTD 2023</v>
      </c>
      <c r="M70" s="135"/>
      <c r="N70" s="151" t="str">
        <f>$N$6</f>
        <v>Sep YTD 2022</v>
      </c>
      <c r="P70" s="171" t="s">
        <v>204</v>
      </c>
      <c r="Q70" s="151" t="s">
        <v>27</v>
      </c>
    </row>
    <row r="71" spans="2:17" x14ac:dyDescent="0.2">
      <c r="H71" s="137"/>
      <c r="I71" s="152"/>
      <c r="Q71" s="137"/>
    </row>
    <row r="72" spans="2:17" x14ac:dyDescent="0.2">
      <c r="B72" s="20" t="s">
        <v>205</v>
      </c>
      <c r="C72" s="86">
        <f>74198.2956849082*(('2023 IR Data Book'!$A$5))</f>
        <v>20203.206361952893</v>
      </c>
      <c r="D72" s="138">
        <f>C72/$C$78</f>
        <v>0.46163874990980103</v>
      </c>
      <c r="E72" s="86">
        <f>78017.7986361162*(('2023 IR Data Book'!$A$5))</f>
        <v>21243.206076380819</v>
      </c>
      <c r="F72" s="138">
        <f>E72/$E$78</f>
        <v>0.45551258738479744</v>
      </c>
      <c r="G72" s="140">
        <f>C72-E72</f>
        <v>-1039.9997144279259</v>
      </c>
      <c r="H72" s="139">
        <f>(C72/E72)-1</f>
        <v>-4.89568152137001E-2</v>
      </c>
      <c r="I72" s="152"/>
      <c r="K72" s="20" t="s">
        <v>205</v>
      </c>
      <c r="L72" s="86">
        <f>279661.62266522*(('2023 IR Data Book'!$A$5))</f>
        <v>76148.130116326298</v>
      </c>
      <c r="M72" s="138">
        <f>L72/$L$78</f>
        <v>0.51231778694494967</v>
      </c>
      <c r="N72" s="86">
        <f>270112.802116059*(('2023 IR Data Book'!$A$5))</f>
        <v>73548.113629597283</v>
      </c>
      <c r="O72" s="138">
        <f>N72/$N$78</f>
        <v>0.49047937879988107</v>
      </c>
      <c r="P72" s="140">
        <f>L72-N72</f>
        <v>2600.016486729015</v>
      </c>
      <c r="Q72" s="139">
        <f>(L72/N72)-1</f>
        <v>3.5351232797393051E-2</v>
      </c>
    </row>
    <row r="73" spans="2:17" x14ac:dyDescent="0.2">
      <c r="B73" s="20" t="s">
        <v>206</v>
      </c>
      <c r="C73" s="86">
        <f>653.630699975984*(('2023 IR Data Book'!$A$5))</f>
        <v>177.97492239176171</v>
      </c>
      <c r="D73" s="138">
        <f t="shared" ref="D73:D76" si="24">C73/$C$78</f>
        <v>4.0666871988672259E-3</v>
      </c>
      <c r="E73" s="86">
        <f>10315.4688433679*(('2023 IR Data Book'!$A$5))</f>
        <v>2808.7645927593258</v>
      </c>
      <c r="F73" s="138">
        <f t="shared" ref="F73:F76" si="25">E73/$E$78</f>
        <v>6.0227614532494429E-2</v>
      </c>
      <c r="G73" s="140">
        <f t="shared" ref="G73:G76" si="26">C73-E73</f>
        <v>-2630.7896703675642</v>
      </c>
      <c r="H73" s="139">
        <f>(C73/E73)-1</f>
        <v>-0.93663587085562072</v>
      </c>
      <c r="I73" s="152"/>
      <c r="K73" s="20" t="s">
        <v>206</v>
      </c>
      <c r="L73" s="86">
        <f>24357.2485278873*(('2023 IR Data Book'!$A$5))</f>
        <v>6632.1539312441591</v>
      </c>
      <c r="M73" s="138">
        <f>L73/$L$78</f>
        <v>4.4620536571846399E-2</v>
      </c>
      <c r="N73" s="86">
        <f>21786.2646563341*(('2023 IR Data Book'!$A$5))</f>
        <v>5932.1093112057124</v>
      </c>
      <c r="O73" s="138">
        <f>N73/$N$78</f>
        <v>3.9560189192429457E-2</v>
      </c>
      <c r="P73" s="140">
        <f t="shared" ref="P73:P76" si="27">L73-N73</f>
        <v>700.04462003844674</v>
      </c>
      <c r="Q73" s="139">
        <f>(L73/N73)-1</f>
        <v>0.11800939317083503</v>
      </c>
    </row>
    <row r="74" spans="2:17" x14ac:dyDescent="0.2">
      <c r="B74" s="20" t="s">
        <v>207</v>
      </c>
      <c r="C74" s="86">
        <f>73092.8006586894*(('2023 IR Data Book'!$A$5))</f>
        <v>19902.194809859338</v>
      </c>
      <c r="D74" s="138">
        <f t="shared" si="24"/>
        <v>0.45476070322120377</v>
      </c>
      <c r="E74" s="86">
        <f>72456.6285834996*(('2023 IR Data Book'!$A$5))</f>
        <v>19728.973638158142</v>
      </c>
      <c r="F74" s="138">
        <f t="shared" si="25"/>
        <v>0.42304329186712603</v>
      </c>
      <c r="G74" s="81">
        <f t="shared" si="26"/>
        <v>173.221171701196</v>
      </c>
      <c r="H74" s="82">
        <f>(C74/E74)-1</f>
        <v>8.7800396958392923E-3</v>
      </c>
      <c r="I74" s="152"/>
      <c r="K74" s="20" t="s">
        <v>207</v>
      </c>
      <c r="L74" s="86">
        <f>202746.272134713*(('2023 IR Data Book'!$A$5))</f>
        <v>55205.105956192616</v>
      </c>
      <c r="M74" s="138">
        <f>L74/$L$78</f>
        <v>0.37141499953226337</v>
      </c>
      <c r="N74" s="86">
        <f>227008.289663494*(('2023 IR Data Book'!$A$5))</f>
        <v>61811.329756437946</v>
      </c>
      <c r="O74" s="138">
        <f>N74/$N$78</f>
        <v>0.41220884024865084</v>
      </c>
      <c r="P74" s="81">
        <f t="shared" si="27"/>
        <v>-6606.2238002453305</v>
      </c>
      <c r="Q74" s="82">
        <f>(L74/N74)-1</f>
        <v>-0.10687723150879569</v>
      </c>
    </row>
    <row r="75" spans="2:17" x14ac:dyDescent="0.2">
      <c r="B75" s="20" t="s">
        <v>208</v>
      </c>
      <c r="C75" s="86">
        <f>11914.281765727*(('2023 IR Data Book'!$A$5))</f>
        <v>3244.100028788052</v>
      </c>
      <c r="D75" s="138">
        <f t="shared" si="24"/>
        <v>7.41269605943531E-2</v>
      </c>
      <c r="E75" s="86">
        <f>9718.14333051106*(('2023 IR Data Book'!$A$5))</f>
        <v>2646.1208219003051</v>
      </c>
      <c r="F75" s="138">
        <f t="shared" si="25"/>
        <v>5.6740086114249445E-2</v>
      </c>
      <c r="G75" s="140">
        <f t="shared" si="26"/>
        <v>597.97920688774684</v>
      </c>
      <c r="H75" s="139">
        <f>(C75/E75)-1</f>
        <v>0.22598333452450192</v>
      </c>
      <c r="I75" s="152"/>
      <c r="K75" s="20" t="s">
        <v>208</v>
      </c>
      <c r="L75" s="86">
        <f>36409.1928310841*(('2023 IR Data Book'!$A$5))</f>
        <v>9913.7376330349343</v>
      </c>
      <c r="M75" s="138">
        <f>L75/$L$78</f>
        <v>6.6698737273659964E-2</v>
      </c>
      <c r="N75" s="86">
        <f>29613.5341418038*(('2023 IR Data Book'!$A$5))</f>
        <v>8063.3704029308392</v>
      </c>
      <c r="O75" s="138">
        <f>N75/$N$78</f>
        <v>5.3773192962916785E-2</v>
      </c>
      <c r="P75" s="140">
        <f t="shared" si="27"/>
        <v>1850.3672301040951</v>
      </c>
      <c r="Q75" s="139">
        <f>(L75/N75)-1</f>
        <v>0.22947813850043786</v>
      </c>
    </row>
    <row r="76" spans="2:17" x14ac:dyDescent="0.2">
      <c r="B76" s="20" t="s">
        <v>209</v>
      </c>
      <c r="C76" s="86">
        <f>869.040340398597*(('2023 IR Data Book'!$A$5))</f>
        <v>236.62809464646216</v>
      </c>
      <c r="D76" s="138">
        <f t="shared" si="24"/>
        <v>5.4068990757748106E-3</v>
      </c>
      <c r="E76" s="86">
        <f>766.697675867779*(('2023 IR Data Book'!$A$5))</f>
        <v>208.76155199797935</v>
      </c>
      <c r="F76" s="138">
        <f t="shared" si="25"/>
        <v>4.4764201013327686E-3</v>
      </c>
      <c r="G76" s="140">
        <f t="shared" si="26"/>
        <v>27.866542648482806</v>
      </c>
      <c r="H76" s="139">
        <f>(C76/E76)-1</f>
        <v>0.13348503295641589</v>
      </c>
      <c r="I76" s="152"/>
      <c r="K76" s="20" t="s">
        <v>209</v>
      </c>
      <c r="L76" s="86">
        <f>2700.95802694928*(('2023 IR Data Book'!$A$5))</f>
        <v>735.434849139378</v>
      </c>
      <c r="M76" s="138">
        <f>L76/$L$78</f>
        <v>4.9479396772803691E-3</v>
      </c>
      <c r="N76" s="86">
        <f>2190.95132885102*(('2023 IR Data Book'!$A$5))</f>
        <v>596.56682700294618</v>
      </c>
      <c r="O76" s="138">
        <f>N76/$N$78</f>
        <v>3.9783987961218266E-3</v>
      </c>
      <c r="P76" s="140">
        <f t="shared" si="27"/>
        <v>138.86802213643182</v>
      </c>
      <c r="Q76" s="139">
        <f>(L76/N76)-1</f>
        <v>0.23277865253433871</v>
      </c>
    </row>
    <row r="77" spans="2:17" x14ac:dyDescent="0.2">
      <c r="C77" s="86"/>
      <c r="D77" s="138"/>
      <c r="E77" s="86"/>
      <c r="F77" s="138"/>
      <c r="G77" s="140"/>
      <c r="H77" s="139"/>
      <c r="I77" s="152"/>
      <c r="L77" s="86"/>
      <c r="M77" s="138"/>
      <c r="N77" s="86"/>
      <c r="O77" s="138"/>
      <c r="P77" s="140"/>
      <c r="Q77" s="139"/>
    </row>
    <row r="78" spans="2:17" x14ac:dyDescent="0.2">
      <c r="B78" s="71" t="s">
        <v>210</v>
      </c>
      <c r="C78" s="87">
        <f>SUM(C72:C76)</f>
        <v>43764.104217638509</v>
      </c>
      <c r="D78" s="170">
        <f>C78/$C$78</f>
        <v>1</v>
      </c>
      <c r="E78" s="87">
        <f>SUM(E72:E76)</f>
        <v>46635.826681196566</v>
      </c>
      <c r="F78" s="138">
        <f>E78/$E$78</f>
        <v>1</v>
      </c>
      <c r="G78" s="141">
        <f>C78-E78</f>
        <v>-2871.7224635580569</v>
      </c>
      <c r="H78" s="142">
        <f>(C78/E78)-1</f>
        <v>-6.1577603913600787E-2</v>
      </c>
      <c r="I78" s="222">
        <f>C78/$C$201</f>
        <v>0.11908623628775322</v>
      </c>
      <c r="K78" s="71" t="s">
        <v>210</v>
      </c>
      <c r="L78" s="87">
        <f>SUM(L72:L76)</f>
        <v>148634.56248593741</v>
      </c>
      <c r="M78" s="138">
        <f>L78/$L$78</f>
        <v>1</v>
      </c>
      <c r="N78" s="87">
        <f>SUM(N72:N76)</f>
        <v>149951.48992717473</v>
      </c>
      <c r="O78" s="138">
        <f>N78/$N$78</f>
        <v>1</v>
      </c>
      <c r="P78" s="141">
        <f>L78-N78</f>
        <v>-1316.9274412373197</v>
      </c>
      <c r="Q78" s="142">
        <f>(L78/N78)-1</f>
        <v>-8.7823564932691944E-3</v>
      </c>
    </row>
    <row r="79" spans="2:17" x14ac:dyDescent="0.2">
      <c r="C79" s="86"/>
      <c r="D79" s="143"/>
      <c r="E79" s="86"/>
      <c r="F79" s="143"/>
      <c r="G79" s="172"/>
      <c r="H79" s="139"/>
      <c r="I79" s="222">
        <f>E78/$E$201</f>
        <v>0.12008742053047443</v>
      </c>
      <c r="L79" s="86"/>
      <c r="M79" s="143"/>
      <c r="N79" s="86"/>
      <c r="O79" s="143"/>
      <c r="P79" s="172"/>
      <c r="Q79" s="139"/>
    </row>
    <row r="80" spans="2:17" x14ac:dyDescent="0.2">
      <c r="B80" s="71" t="s">
        <v>31</v>
      </c>
      <c r="C80" s="87">
        <f>23006.8531706184*(('2023 IR Data Book'!$A$5))</f>
        <v>6264.4592851436037</v>
      </c>
      <c r="D80" s="138">
        <f>C80/$C$78</f>
        <v>0.14314149454517569</v>
      </c>
      <c r="E80" s="87">
        <f>25116.1945510863*(('2023 IR Data Book'!$A$5))</f>
        <v>6838.8048116011269</v>
      </c>
      <c r="F80" s="138">
        <f>E80/$E$78</f>
        <v>0.14664272723953908</v>
      </c>
      <c r="G80" s="141">
        <f>C80-E80</f>
        <v>-574.34552645752319</v>
      </c>
      <c r="H80" s="142">
        <f>(C80/E80)-1</f>
        <v>-8.3983319056455841E-2</v>
      </c>
      <c r="I80" s="152"/>
      <c r="K80" s="71" t="s">
        <v>31</v>
      </c>
      <c r="L80" s="87">
        <f>77572.4126916274*(('2023 IR Data Book'!$A$5))</f>
        <v>21121.93342363105</v>
      </c>
      <c r="M80" s="138">
        <f>L80/$L$78</f>
        <v>0.14210647288465922</v>
      </c>
      <c r="N80" s="87">
        <f>92855.0985900926*(('2023 IR Data Book'!$A$5))</f>
        <v>25283.204974702552</v>
      </c>
      <c r="O80" s="138">
        <f>N80/$N$78</f>
        <v>0.16860922813759013</v>
      </c>
      <c r="P80" s="141">
        <f>L80-N80</f>
        <v>-4161.2715510715025</v>
      </c>
      <c r="Q80" s="142">
        <f>(L80/N80)-1</f>
        <v>-0.16458639461393909</v>
      </c>
    </row>
    <row r="81" spans="2:17" x14ac:dyDescent="0.2">
      <c r="I81" s="152"/>
    </row>
    <row r="82" spans="2:17" x14ac:dyDescent="0.2">
      <c r="B82" s="71" t="s">
        <v>211</v>
      </c>
      <c r="C82" s="151" t="str">
        <f>$C$6</f>
        <v>Q3'23</v>
      </c>
      <c r="D82" s="135"/>
      <c r="E82" s="151" t="str">
        <f>$E$6</f>
        <v>Q3'22</v>
      </c>
      <c r="G82" s="171" t="s">
        <v>204</v>
      </c>
      <c r="H82" s="151" t="s">
        <v>27</v>
      </c>
      <c r="I82" s="152"/>
      <c r="K82" s="71" t="s">
        <v>211</v>
      </c>
      <c r="L82" s="151" t="str">
        <f>$L$6</f>
        <v>Sep YTD 2023</v>
      </c>
      <c r="M82" s="135"/>
      <c r="N82" s="151" t="str">
        <f>$N$6</f>
        <v>Sep YTD 2022</v>
      </c>
      <c r="P82" s="171" t="s">
        <v>204</v>
      </c>
      <c r="Q82" s="151" t="s">
        <v>27</v>
      </c>
    </row>
    <row r="83" spans="2:17" x14ac:dyDescent="0.2">
      <c r="B83" s="20" t="s">
        <v>206</v>
      </c>
      <c r="C83" s="83">
        <v>173</v>
      </c>
      <c r="D83" s="83"/>
      <c r="E83" s="83">
        <v>872</v>
      </c>
      <c r="F83" s="89"/>
      <c r="G83" s="140">
        <f t="shared" ref="G83:G85" si="28">C83-E83</f>
        <v>-699</v>
      </c>
      <c r="H83" s="139">
        <f t="shared" ref="H83:H85" si="29">(C83/E83)-1</f>
        <v>-0.80160550458715596</v>
      </c>
      <c r="I83" s="153"/>
      <c r="K83" s="20" t="s">
        <v>206</v>
      </c>
      <c r="L83" s="83">
        <v>7989</v>
      </c>
      <c r="M83" s="83"/>
      <c r="N83" s="83">
        <v>6622</v>
      </c>
      <c r="O83" s="89"/>
      <c r="P83" s="140">
        <f t="shared" ref="P83:P85" si="30">L83-N83</f>
        <v>1367</v>
      </c>
      <c r="Q83" s="139">
        <f t="shared" ref="Q83:Q85" si="31">(L83/N83)-1</f>
        <v>0.20643310178193897</v>
      </c>
    </row>
    <row r="84" spans="2:17" x14ac:dyDescent="0.2">
      <c r="B84" s="20" t="s">
        <v>205</v>
      </c>
      <c r="C84" s="260">
        <v>937805</v>
      </c>
      <c r="D84" s="261"/>
      <c r="E84" s="260">
        <v>1258279</v>
      </c>
      <c r="F84" s="144"/>
      <c r="G84" s="140">
        <f t="shared" si="28"/>
        <v>-320474</v>
      </c>
      <c r="H84" s="139">
        <f t="shared" si="29"/>
        <v>-0.25469232181416046</v>
      </c>
      <c r="I84" s="152"/>
      <c r="K84" s="20" t="s">
        <v>205</v>
      </c>
      <c r="L84" s="260">
        <v>4042557</v>
      </c>
      <c r="M84" s="261"/>
      <c r="N84" s="260">
        <v>3916694</v>
      </c>
      <c r="O84" s="144"/>
      <c r="P84" s="140">
        <f t="shared" si="30"/>
        <v>125863</v>
      </c>
      <c r="Q84" s="139">
        <f t="shared" si="31"/>
        <v>3.2135009781208312E-2</v>
      </c>
    </row>
    <row r="85" spans="2:17" x14ac:dyDescent="0.2">
      <c r="B85" s="146"/>
      <c r="C85" s="35">
        <f>C84+C83</f>
        <v>937978</v>
      </c>
      <c r="D85" s="35"/>
      <c r="E85" s="35">
        <f>E84+E83</f>
        <v>1259151</v>
      </c>
      <c r="F85" s="146"/>
      <c r="G85" s="254">
        <f t="shared" si="28"/>
        <v>-321173</v>
      </c>
      <c r="H85" s="255">
        <f t="shared" si="29"/>
        <v>-0.25507107566924059</v>
      </c>
      <c r="I85" s="154"/>
      <c r="K85" s="146"/>
      <c r="L85" s="35">
        <f>L84+L83</f>
        <v>4050546</v>
      </c>
      <c r="M85" s="35"/>
      <c r="N85" s="35">
        <f>N84+N83</f>
        <v>3923316</v>
      </c>
      <c r="O85" s="146"/>
      <c r="P85" s="254">
        <f t="shared" si="30"/>
        <v>127230</v>
      </c>
      <c r="Q85" s="255">
        <f t="shared" si="31"/>
        <v>3.2429200196976149E-2</v>
      </c>
    </row>
    <row r="86" spans="2:17" x14ac:dyDescent="0.2">
      <c r="I86" s="152"/>
    </row>
    <row r="87" spans="2:17" x14ac:dyDescent="0.2">
      <c r="B87" s="71" t="s">
        <v>194</v>
      </c>
      <c r="I87" s="152"/>
      <c r="K87" s="71" t="s">
        <v>194</v>
      </c>
    </row>
    <row r="88" spans="2:17" x14ac:dyDescent="0.2">
      <c r="B88" s="58" t="str">
        <f>$B$3</f>
        <v xml:space="preserve">Q3'23 vs Q3'22 </v>
      </c>
      <c r="I88" s="152"/>
      <c r="K88" s="58" t="str">
        <f>$B$3</f>
        <v xml:space="preserve">Q3'23 vs Q3'22 </v>
      </c>
    </row>
    <row r="89" spans="2:17" x14ac:dyDescent="0.2">
      <c r="B89" s="50" t="s">
        <v>299</v>
      </c>
      <c r="I89" s="152"/>
      <c r="K89" s="50" t="s">
        <v>202</v>
      </c>
    </row>
    <row r="90" spans="2:17" x14ac:dyDescent="0.2">
      <c r="C90" s="151" t="s">
        <v>203</v>
      </c>
      <c r="D90" s="135"/>
      <c r="E90" s="151" t="s">
        <v>203</v>
      </c>
      <c r="I90" s="152"/>
      <c r="L90" s="151" t="s">
        <v>203</v>
      </c>
      <c r="M90" s="135"/>
      <c r="N90" s="151" t="s">
        <v>203</v>
      </c>
    </row>
    <row r="91" spans="2:17" x14ac:dyDescent="0.2">
      <c r="B91" s="136"/>
      <c r="C91" s="151" t="str">
        <f>$C$6</f>
        <v>Q3'23</v>
      </c>
      <c r="D91" s="135"/>
      <c r="E91" s="151" t="str">
        <f>$E$6</f>
        <v>Q3'22</v>
      </c>
      <c r="G91" s="171" t="s">
        <v>204</v>
      </c>
      <c r="H91" s="151" t="s">
        <v>27</v>
      </c>
      <c r="I91" s="152"/>
      <c r="K91" s="136"/>
      <c r="L91" s="151" t="str">
        <f>$L$6</f>
        <v>Sep YTD 2023</v>
      </c>
      <c r="M91" s="135"/>
      <c r="N91" s="151" t="str">
        <f>$N$6</f>
        <v>Sep YTD 2022</v>
      </c>
      <c r="P91" s="171" t="s">
        <v>204</v>
      </c>
      <c r="Q91" s="151" t="s">
        <v>27</v>
      </c>
    </row>
    <row r="92" spans="2:17" x14ac:dyDescent="0.2">
      <c r="H92" s="137"/>
      <c r="I92" s="152"/>
      <c r="Q92" s="137"/>
    </row>
    <row r="93" spans="2:17" x14ac:dyDescent="0.2">
      <c r="B93" s="20" t="s">
        <v>205</v>
      </c>
      <c r="C93" s="86">
        <f>127744.901152861*(('2023 IR Data Book'!$A$5))</f>
        <v>34783.232901176547</v>
      </c>
      <c r="D93" s="138">
        <f>C93/$C$99</f>
        <v>0.90368042325300513</v>
      </c>
      <c r="E93" s="86">
        <f>60904.104725586*(('2023 IR Data Book'!$A$5))</f>
        <v>16583.375463046887</v>
      </c>
      <c r="F93" s="138">
        <f>E93/$E$99</f>
        <v>0.81605241051190891</v>
      </c>
      <c r="G93" s="140">
        <f>C93-E93</f>
        <v>18199.85743812966</v>
      </c>
      <c r="H93" s="139">
        <f>(C93/E93)-1</f>
        <v>1.0974760523685192</v>
      </c>
      <c r="I93" s="152"/>
      <c r="K93" s="20" t="s">
        <v>205</v>
      </c>
      <c r="L93" s="86">
        <f>405919.872076824*(('2023 IR Data Book'!$A$5))</f>
        <v>110526.56757523934</v>
      </c>
      <c r="M93" s="138">
        <f>L93/$L$99</f>
        <v>0.92873902730742963</v>
      </c>
      <c r="N93" s="86">
        <f>190432.081820659*(('2023 IR Data Book'!$A$5))</f>
        <v>51852.116163115774</v>
      </c>
      <c r="O93" s="138">
        <f>N93/$N$99</f>
        <v>0.84419459950854381</v>
      </c>
      <c r="P93" s="140">
        <f>L93-N93</f>
        <v>58674.45141212357</v>
      </c>
      <c r="Q93" s="139">
        <f>(L93/N93)-1</f>
        <v>1.1315729376896821</v>
      </c>
    </row>
    <row r="94" spans="2:17" x14ac:dyDescent="0.2">
      <c r="B94" s="20" t="s">
        <v>206</v>
      </c>
      <c r="C94" s="86">
        <f>49.4594921362126*(('2023 IR Data Book'!$A$5))</f>
        <v>13.467160087189621</v>
      </c>
      <c r="D94" s="138">
        <f t="shared" ref="D94:D97" si="32">C94/$C$99</f>
        <v>3.4988147772761638E-4</v>
      </c>
      <c r="E94" s="86">
        <f>0*(('2023 IR Data Book'!$A$5))</f>
        <v>0</v>
      </c>
      <c r="F94" s="138">
        <f t="shared" ref="F94:F97" si="33">E94/$E$99</f>
        <v>0</v>
      </c>
      <c r="G94" s="140">
        <f t="shared" ref="G94:G97" si="34">C94-E94</f>
        <v>13.467160087189621</v>
      </c>
      <c r="H94" s="139" t="e">
        <f>(C94/E94)-1</f>
        <v>#DIV/0!</v>
      </c>
      <c r="I94" s="152"/>
      <c r="K94" s="20" t="s">
        <v>206</v>
      </c>
      <c r="L94" s="86">
        <f>151.232238831984*(('2023 IR Data Book'!$A$5))</f>
        <v>41.178521709955888</v>
      </c>
      <c r="M94" s="138">
        <f>L94/$L$99</f>
        <v>3.460172611696115E-4</v>
      </c>
      <c r="N94" s="86">
        <f>0*(('2023 IR Data Book'!$A$5))</f>
        <v>0</v>
      </c>
      <c r="O94" s="138">
        <f>N94/$N$99</f>
        <v>0</v>
      </c>
      <c r="P94" s="140">
        <f t="shared" ref="P94:P97" si="35">L94-N94</f>
        <v>41.178521709955888</v>
      </c>
      <c r="Q94" s="139" t="e">
        <f>(L94/N94)-1</f>
        <v>#DIV/0!</v>
      </c>
    </row>
    <row r="95" spans="2:17" x14ac:dyDescent="0.2">
      <c r="B95" s="20" t="s">
        <v>207</v>
      </c>
      <c r="C95" s="86">
        <f>6130.14749050342*(('2023 IR Data Book'!$A$5))</f>
        <v>1669.1574063343189</v>
      </c>
      <c r="D95" s="138">
        <f t="shared" si="32"/>
        <v>4.3365286824188914E-2</v>
      </c>
      <c r="E95" s="86">
        <f>13432.1232664688*(('2023 IR Data Book'!$A$5))</f>
        <v>3657.3880265939115</v>
      </c>
      <c r="F95" s="138">
        <f t="shared" si="33"/>
        <v>0.17997664721094039</v>
      </c>
      <c r="G95" s="81">
        <f t="shared" si="34"/>
        <v>-1988.2306202595926</v>
      </c>
      <c r="H95" s="82">
        <f>(C95/E95)-1</f>
        <v>-0.54362036672144187</v>
      </c>
      <c r="I95" s="152"/>
      <c r="K95" s="20" t="s">
        <v>207</v>
      </c>
      <c r="L95" s="86">
        <f>22336.9177990241*(('2023 IR Data Book'!$A$5))</f>
        <v>6082.0448181190704</v>
      </c>
      <c r="M95" s="138">
        <f>L95/$L$99</f>
        <v>5.1106557566576692E-2</v>
      </c>
      <c r="N95" s="86">
        <f>33363.7112075267*(('2023 IR Data Book'!$A$5))</f>
        <v>9084.4936033128288</v>
      </c>
      <c r="O95" s="138">
        <f>N95/$N$99</f>
        <v>0.14790294025920367</v>
      </c>
      <c r="P95" s="81">
        <f t="shared" si="35"/>
        <v>-3002.4487851937583</v>
      </c>
      <c r="Q95" s="82">
        <f>(L95/N95)-1</f>
        <v>-0.33050260326000558</v>
      </c>
    </row>
    <row r="96" spans="2:17" x14ac:dyDescent="0.2">
      <c r="B96" s="20" t="s">
        <v>208</v>
      </c>
      <c r="C96" s="86">
        <f>7256.11355817*(('2023 IR Data Book'!$A$5))</f>
        <v>1975.7429499999998</v>
      </c>
      <c r="D96" s="138">
        <f t="shared" si="32"/>
        <v>5.1330485305026034E-2</v>
      </c>
      <c r="E96" s="86">
        <f>0*(('2023 IR Data Book'!$A$5))</f>
        <v>0</v>
      </c>
      <c r="F96" s="138">
        <f t="shared" si="33"/>
        <v>0</v>
      </c>
      <c r="G96" s="140">
        <f t="shared" si="34"/>
        <v>1975.7429499999998</v>
      </c>
      <c r="H96" s="139" t="e">
        <f>(C96/E96)-1</f>
        <v>#DIV/0!</v>
      </c>
      <c r="I96" s="152"/>
      <c r="K96" s="20" t="s">
        <v>208</v>
      </c>
      <c r="L96" s="86">
        <f>8133.79150617*(('2023 IR Data Book'!$A$5))</f>
        <v>2214.7229499999999</v>
      </c>
      <c r="M96" s="138">
        <f>L96/$L$99</f>
        <v>1.8610001952139126E-2</v>
      </c>
      <c r="N96" s="86">
        <f>0*(('2023 IR Data Book'!$A$5))</f>
        <v>0</v>
      </c>
      <c r="O96" s="138">
        <f>N96/$N$99</f>
        <v>0</v>
      </c>
      <c r="P96" s="140">
        <f t="shared" si="35"/>
        <v>2214.7229499999999</v>
      </c>
      <c r="Q96" s="139" t="e">
        <f>(L96/N96)-1</f>
        <v>#DIV/0!</v>
      </c>
    </row>
    <row r="97" spans="2:17" x14ac:dyDescent="0.2">
      <c r="B97" s="20" t="s">
        <v>209</v>
      </c>
      <c r="C97" s="86">
        <f>180.082672386*(('2023 IR Data Book'!$A$5))</f>
        <v>49.034109999999998</v>
      </c>
      <c r="D97" s="138">
        <f t="shared" si="32"/>
        <v>1.2739231400522169E-3</v>
      </c>
      <c r="E97" s="86">
        <f>296.361705684*(('2023 IR Data Book'!$A$5))</f>
        <v>80.695340000000002</v>
      </c>
      <c r="F97" s="138">
        <f t="shared" si="33"/>
        <v>3.970942277150797E-3</v>
      </c>
      <c r="G97" s="140">
        <f t="shared" si="34"/>
        <v>-31.661230000000003</v>
      </c>
      <c r="H97" s="139">
        <f>(C97/E97)-1</f>
        <v>-0.39235512236518244</v>
      </c>
      <c r="I97" s="152"/>
      <c r="K97" s="20" t="s">
        <v>209</v>
      </c>
      <c r="L97" s="86">
        <f>523.777618116*(('2023 IR Data Book'!$A$5))</f>
        <v>142.61766</v>
      </c>
      <c r="M97" s="138">
        <f>L97/$L$99</f>
        <v>1.1983959126849316E-3</v>
      </c>
      <c r="N97" s="86">
        <f>1782.624473562*(('2023 IR Data Book'!$A$5))</f>
        <v>485.38486999999998</v>
      </c>
      <c r="O97" s="138">
        <f>N97/$N$99</f>
        <v>7.902460232252443E-3</v>
      </c>
      <c r="P97" s="140">
        <f t="shared" si="35"/>
        <v>-342.76720999999998</v>
      </c>
      <c r="Q97" s="139">
        <f>(L97/N97)-1</f>
        <v>-0.70617613194247275</v>
      </c>
    </row>
    <row r="98" spans="2:17" x14ac:dyDescent="0.2">
      <c r="C98" s="86"/>
      <c r="D98" s="138"/>
      <c r="E98" s="86"/>
      <c r="F98" s="138"/>
      <c r="G98" s="140"/>
      <c r="H98" s="139"/>
      <c r="I98" s="152"/>
      <c r="L98" s="86"/>
      <c r="M98" s="138"/>
      <c r="N98" s="86"/>
      <c r="O98" s="138"/>
      <c r="P98" s="140"/>
      <c r="Q98" s="139"/>
    </row>
    <row r="99" spans="2:17" x14ac:dyDescent="0.2">
      <c r="B99" s="71" t="s">
        <v>210</v>
      </c>
      <c r="C99" s="87">
        <f>SUM(C93:C97)</f>
        <v>38490.634527598057</v>
      </c>
      <c r="D99" s="138">
        <f>C99/$C$99</f>
        <v>1</v>
      </c>
      <c r="E99" s="87">
        <f>SUM(E93:E97)</f>
        <v>20321.458829640796</v>
      </c>
      <c r="F99" s="138">
        <f>E99/$E$99</f>
        <v>1</v>
      </c>
      <c r="G99" s="141">
        <f>C99-E99</f>
        <v>18169.17569795726</v>
      </c>
      <c r="H99" s="142">
        <f>(C99/E99)-1</f>
        <v>0.89408815825051757</v>
      </c>
      <c r="I99" s="222">
        <f>C99/$C$201</f>
        <v>0.10473663017125566</v>
      </c>
      <c r="K99" s="71" t="s">
        <v>210</v>
      </c>
      <c r="L99" s="87">
        <f>SUM(L93:L97)</f>
        <v>119007.13152506837</v>
      </c>
      <c r="M99" s="138">
        <f>L99/$L$99</f>
        <v>1</v>
      </c>
      <c r="N99" s="87">
        <f>SUM(N93:N97)</f>
        <v>61421.994636428608</v>
      </c>
      <c r="O99" s="138">
        <f>N99/$N$99</f>
        <v>1</v>
      </c>
      <c r="P99" s="141">
        <f>L99-N99</f>
        <v>57585.136888639761</v>
      </c>
      <c r="Q99" s="142">
        <f>(L99/N99)-1</f>
        <v>0.93753283704802937</v>
      </c>
    </row>
    <row r="100" spans="2:17" x14ac:dyDescent="0.2">
      <c r="C100" s="86"/>
      <c r="D100" s="143"/>
      <c r="E100" s="86"/>
      <c r="F100" s="143"/>
      <c r="G100" s="172"/>
      <c r="H100" s="139"/>
      <c r="I100" s="222">
        <f>E99/$E$201</f>
        <v>5.2327829180558734E-2</v>
      </c>
      <c r="L100" s="86"/>
      <c r="M100" s="143"/>
      <c r="N100" s="86"/>
      <c r="O100" s="143"/>
      <c r="P100" s="172"/>
      <c r="Q100" s="139"/>
    </row>
    <row r="101" spans="2:17" x14ac:dyDescent="0.2">
      <c r="B101" s="71" t="s">
        <v>31</v>
      </c>
      <c r="C101" s="87">
        <f>38324.3894565559*(('2023 IR Data Book'!$A$5))</f>
        <v>10435.220131938109</v>
      </c>
      <c r="D101" s="138">
        <f>C101/$C$99</f>
        <v>0.27111062885845599</v>
      </c>
      <c r="E101" s="87">
        <f>15381.1804148288*(('2023 IR Data Book'!$A$5))</f>
        <v>4188.0902942952671</v>
      </c>
      <c r="F101" s="138">
        <f>E101/$E$99</f>
        <v>0.20609200989972903</v>
      </c>
      <c r="G101" s="141">
        <f>C101-E101</f>
        <v>6247.1298376428422</v>
      </c>
      <c r="H101" s="142">
        <f>(C101/E101)-1</f>
        <v>1.4916416310680454</v>
      </c>
      <c r="I101" s="152"/>
      <c r="K101" s="71" t="s">
        <v>31</v>
      </c>
      <c r="L101" s="87">
        <f>131556.969490281*(('2023 IR Data Book'!$A$5))</f>
        <v>35821.208269422474</v>
      </c>
      <c r="M101" s="138">
        <f>L101/$L$99</f>
        <v>0.30100051829143432</v>
      </c>
      <c r="N101" s="87">
        <f>35062.4323108253*(('2023 IR Data Book'!$A$5))</f>
        <v>9547.0327045758586</v>
      </c>
      <c r="O101" s="138">
        <f>N101/$N$99</f>
        <v>0.15543345280606752</v>
      </c>
      <c r="P101" s="141">
        <f>L101-N101</f>
        <v>26274.175564846613</v>
      </c>
      <c r="Q101" s="142">
        <f>(L101/N101)-1</f>
        <v>2.7520776745902942</v>
      </c>
    </row>
    <row r="102" spans="2:17" x14ac:dyDescent="0.2">
      <c r="I102" s="152"/>
    </row>
    <row r="103" spans="2:17" x14ac:dyDescent="0.2">
      <c r="B103" s="71" t="s">
        <v>211</v>
      </c>
      <c r="C103" s="151" t="str">
        <f>$C$6</f>
        <v>Q3'23</v>
      </c>
      <c r="D103" s="135"/>
      <c r="E103" s="151" t="str">
        <f>$E$6</f>
        <v>Q3'22</v>
      </c>
      <c r="G103" s="171" t="s">
        <v>204</v>
      </c>
      <c r="H103" s="151" t="s">
        <v>27</v>
      </c>
      <c r="I103" s="152"/>
      <c r="K103" s="71" t="s">
        <v>211</v>
      </c>
      <c r="L103" s="151" t="str">
        <f>$L$6</f>
        <v>Sep YTD 2023</v>
      </c>
      <c r="M103" s="135"/>
      <c r="N103" s="151" t="str">
        <f>$N$6</f>
        <v>Sep YTD 2022</v>
      </c>
      <c r="P103" s="171" t="s">
        <v>204</v>
      </c>
      <c r="Q103" s="151" t="s">
        <v>27</v>
      </c>
    </row>
    <row r="104" spans="2:17" x14ac:dyDescent="0.2">
      <c r="B104" s="20" t="s">
        <v>206</v>
      </c>
      <c r="C104" s="83"/>
      <c r="D104" s="83"/>
      <c r="E104" s="83"/>
      <c r="F104" s="89"/>
      <c r="G104" s="140">
        <f t="shared" ref="G104:G106" si="36">C104-E104</f>
        <v>0</v>
      </c>
      <c r="H104" s="139" t="e">
        <f t="shared" ref="H104:H106" si="37">(C104/E104)-1</f>
        <v>#DIV/0!</v>
      </c>
      <c r="I104" s="153"/>
      <c r="K104" s="20" t="s">
        <v>206</v>
      </c>
      <c r="L104" s="83"/>
      <c r="M104" s="83"/>
      <c r="N104" s="83"/>
      <c r="O104" s="89"/>
      <c r="P104" s="140">
        <f t="shared" ref="P104:P106" si="38">L104-N104</f>
        <v>0</v>
      </c>
      <c r="Q104" s="139" t="e">
        <f t="shared" ref="Q104:Q106" si="39">(L104/N104)-1</f>
        <v>#DIV/0!</v>
      </c>
    </row>
    <row r="105" spans="2:17" x14ac:dyDescent="0.2">
      <c r="B105" s="20" t="s">
        <v>205</v>
      </c>
      <c r="C105" s="260">
        <v>1242720</v>
      </c>
      <c r="D105" s="261"/>
      <c r="E105" s="260">
        <v>986158</v>
      </c>
      <c r="F105" s="144"/>
      <c r="G105" s="140">
        <f t="shared" si="36"/>
        <v>256562</v>
      </c>
      <c r="H105" s="139">
        <v>-4.6455756302732354E-3</v>
      </c>
      <c r="I105" s="152"/>
      <c r="K105" s="20" t="s">
        <v>205</v>
      </c>
      <c r="L105" s="260">
        <v>3672043</v>
      </c>
      <c r="M105" s="261"/>
      <c r="N105" s="260">
        <v>3352447</v>
      </c>
      <c r="O105" s="144"/>
      <c r="P105" s="140">
        <f t="shared" si="38"/>
        <v>319596</v>
      </c>
      <c r="Q105" s="139">
        <v>2.3440676236066826E-2</v>
      </c>
    </row>
    <row r="106" spans="2:17" x14ac:dyDescent="0.2">
      <c r="B106" s="146"/>
      <c r="C106" s="35">
        <f>C105+C104</f>
        <v>1242720</v>
      </c>
      <c r="D106" s="35"/>
      <c r="E106" s="35">
        <f>E105+E104</f>
        <v>986158</v>
      </c>
      <c r="F106" s="146"/>
      <c r="G106" s="254">
        <f t="shared" si="36"/>
        <v>256562</v>
      </c>
      <c r="H106" s="255">
        <f t="shared" si="37"/>
        <v>0.26016317871983996</v>
      </c>
      <c r="I106" s="154"/>
      <c r="K106" s="146"/>
      <c r="L106" s="35">
        <f>L105+L104</f>
        <v>3672043</v>
      </c>
      <c r="M106" s="35"/>
      <c r="N106" s="35">
        <f>N105+N104</f>
        <v>3352447</v>
      </c>
      <c r="O106" s="146"/>
      <c r="P106" s="254">
        <f t="shared" si="38"/>
        <v>319596</v>
      </c>
      <c r="Q106" s="255">
        <f t="shared" si="39"/>
        <v>9.5332155884940262E-2</v>
      </c>
    </row>
    <row r="107" spans="2:17" x14ac:dyDescent="0.2">
      <c r="I107" s="152"/>
    </row>
    <row r="108" spans="2:17" x14ac:dyDescent="0.2">
      <c r="B108" s="71" t="s">
        <v>213</v>
      </c>
      <c r="I108" s="152"/>
      <c r="K108" s="71" t="s">
        <v>213</v>
      </c>
    </row>
    <row r="109" spans="2:17" x14ac:dyDescent="0.2">
      <c r="B109" s="58" t="str">
        <f>$B$3</f>
        <v xml:space="preserve">Q3'23 vs Q3'22 </v>
      </c>
      <c r="I109" s="152"/>
      <c r="K109" s="58" t="str">
        <f>$B$3</f>
        <v xml:space="preserve">Q3'23 vs Q3'22 </v>
      </c>
    </row>
    <row r="110" spans="2:17" x14ac:dyDescent="0.2">
      <c r="B110" s="50" t="s">
        <v>299</v>
      </c>
      <c r="I110" s="152"/>
      <c r="K110" s="50" t="s">
        <v>202</v>
      </c>
    </row>
    <row r="111" spans="2:17" x14ac:dyDescent="0.2">
      <c r="C111" s="151" t="s">
        <v>203</v>
      </c>
      <c r="D111" s="135"/>
      <c r="E111" s="151" t="s">
        <v>203</v>
      </c>
      <c r="I111" s="152"/>
      <c r="L111" s="151" t="s">
        <v>203</v>
      </c>
      <c r="M111" s="135"/>
      <c r="N111" s="151" t="s">
        <v>203</v>
      </c>
    </row>
    <row r="112" spans="2:17" x14ac:dyDescent="0.2">
      <c r="B112" s="136"/>
      <c r="C112" s="151" t="str">
        <f>$C$6</f>
        <v>Q3'23</v>
      </c>
      <c r="D112" s="135"/>
      <c r="E112" s="151" t="str">
        <f>$E$6</f>
        <v>Q3'22</v>
      </c>
      <c r="G112" s="171" t="s">
        <v>204</v>
      </c>
      <c r="H112" s="151" t="s">
        <v>27</v>
      </c>
      <c r="I112" s="152"/>
      <c r="K112" s="136"/>
      <c r="L112" s="151" t="str">
        <f>$L$6</f>
        <v>Sep YTD 2023</v>
      </c>
      <c r="M112" s="135"/>
      <c r="N112" s="151" t="str">
        <f>$N$6</f>
        <v>Sep YTD 2022</v>
      </c>
      <c r="P112" s="171" t="s">
        <v>204</v>
      </c>
      <c r="Q112" s="151" t="s">
        <v>27</v>
      </c>
    </row>
    <row r="113" spans="2:17" x14ac:dyDescent="0.2">
      <c r="H113" s="137"/>
      <c r="I113" s="152"/>
      <c r="Q113" s="137"/>
    </row>
    <row r="114" spans="2:17" x14ac:dyDescent="0.2">
      <c r="B114" s="20" t="s">
        <v>205</v>
      </c>
      <c r="C114" s="86">
        <f>33323.7773110968*(('2023 IR Data Book'!$A$5))</f>
        <v>9073.6201358974013</v>
      </c>
      <c r="D114" s="138">
        <f>C114/$C$120</f>
        <v>0.90985838410611664</v>
      </c>
      <c r="E114" s="86">
        <f>50071.2832281391*(('2023 IR Data Book'!$A$5))</f>
        <v>13633.742642307656</v>
      </c>
      <c r="F114" s="138">
        <f>E114/$E$120</f>
        <v>0.89793270854331164</v>
      </c>
      <c r="G114" s="140">
        <f>C114-E114</f>
        <v>-4560.1225064102546</v>
      </c>
      <c r="H114" s="139">
        <f>(C114/E114)-1</f>
        <v>-0.33447327165025653</v>
      </c>
      <c r="I114" s="152"/>
      <c r="K114" s="20" t="s">
        <v>205</v>
      </c>
      <c r="L114" s="86">
        <f>101221.016081148*(('2023 IR Data Book'!$A$5))</f>
        <v>27561.132734615258</v>
      </c>
      <c r="M114" s="138">
        <f>L114/$L$120</f>
        <v>0.91283641522127168</v>
      </c>
      <c r="N114" s="86">
        <f>219589.75617066*(('2023 IR Data Book'!$A$5))</f>
        <v>59791.362024358757</v>
      </c>
      <c r="O114" s="138">
        <f>N114/$N$120</f>
        <v>0.92903759088688476</v>
      </c>
      <c r="P114" s="140">
        <f>L114-N114</f>
        <v>-32230.2292897435</v>
      </c>
      <c r="Q114" s="139">
        <f>(L114/N114)-1</f>
        <v>-0.53904490880493805</v>
      </c>
    </row>
    <row r="115" spans="2:17" x14ac:dyDescent="0.2">
      <c r="B115" s="20" t="s">
        <v>206</v>
      </c>
      <c r="C115" s="86">
        <f>0.106411230769231*(('2023 IR Data Book'!$A$5))</f>
        <v>2.8974358974359033E-2</v>
      </c>
      <c r="D115" s="138">
        <f t="shared" ref="D115:D118" si="40">C115/$C$120</f>
        <v>2.9054074384957216E-6</v>
      </c>
      <c r="E115" s="86">
        <f>3.66252860076922*(('2023 IR Data Book'!$A$5))</f>
        <v>0.99725769230768935</v>
      </c>
      <c r="F115" s="138">
        <f t="shared" ref="F115:F118" si="41">E115/$E$120</f>
        <v>6.5680446247438342E-5</v>
      </c>
      <c r="G115" s="140">
        <f t="shared" ref="G115:G118" si="42">C115-E115</f>
        <v>-0.96828333333333028</v>
      </c>
      <c r="H115" s="139">
        <f>(C115/E115)-1</f>
        <v>-0.97094596592450311</v>
      </c>
      <c r="I115" s="152"/>
      <c r="K115" s="20" t="s">
        <v>206</v>
      </c>
      <c r="L115" s="86">
        <f>8.70208444615383*(('2023 IR Data Book'!$A$5))</f>
        <v>2.3694615384615338</v>
      </c>
      <c r="M115" s="138">
        <f>L115/$L$120</f>
        <v>7.8477571934385147E-5</v>
      </c>
      <c r="N115" s="86">
        <f>160.875455590769*(('2023 IR Data Book'!$A$5))</f>
        <v>43.804241025640962</v>
      </c>
      <c r="O115" s="138">
        <f>N115/$N$120</f>
        <v>6.806298631650275E-4</v>
      </c>
      <c r="P115" s="140">
        <f t="shared" ref="P115:P118" si="43">L115-N115</f>
        <v>-41.434779487179426</v>
      </c>
      <c r="Q115" s="139">
        <f>(L115/N115)-1</f>
        <v>-0.94590794217677321</v>
      </c>
    </row>
    <row r="116" spans="2:17" x14ac:dyDescent="0.2">
      <c r="B116" s="20" t="s">
        <v>207</v>
      </c>
      <c r="C116" s="86">
        <f>2863.23629648076*(('2023 IR Data Book'!$A$5))</f>
        <v>779.62105769230504</v>
      </c>
      <c r="D116" s="138">
        <f t="shared" si="40"/>
        <v>7.8176598220228058E-2</v>
      </c>
      <c r="E116" s="86">
        <f>5360.60850584537*(('2023 IR Data Book'!$A$5))</f>
        <v>1459.6222038461499</v>
      </c>
      <c r="F116" s="138">
        <f t="shared" si="41"/>
        <v>9.6132261942689201E-2</v>
      </c>
      <c r="G116" s="81">
        <f t="shared" si="42"/>
        <v>-680.00114615384484</v>
      </c>
      <c r="H116" s="82">
        <f>(C116/E116)-1</f>
        <v>-0.46587476153899321</v>
      </c>
      <c r="I116" s="152"/>
      <c r="K116" s="20" t="s">
        <v>207</v>
      </c>
      <c r="L116" s="86">
        <f>7510.78191603306*(('2023 IR Data Book'!$A$5))</f>
        <v>2045.0857474358927</v>
      </c>
      <c r="M116" s="138">
        <f>L116/$L$120</f>
        <v>6.7734108045743049E-2</v>
      </c>
      <c r="N116" s="86">
        <f>15799.8931144761*(('2023 IR Data Book'!$A$5))</f>
        <v>4302.1001782051135</v>
      </c>
      <c r="O116" s="138">
        <f>N116/$N$120</f>
        <v>6.6845989955629903E-2</v>
      </c>
      <c r="P116" s="81">
        <f t="shared" si="43"/>
        <v>-2257.0144307692208</v>
      </c>
      <c r="Q116" s="82">
        <f>(L116/N116)-1</f>
        <v>-0.52463084011931904</v>
      </c>
    </row>
    <row r="117" spans="2:17" x14ac:dyDescent="0.2">
      <c r="B117" s="20" t="s">
        <v>208</v>
      </c>
      <c r="C117" s="86">
        <f>438.115175166922*(('2023 IR Data Book'!$A$5))</f>
        <v>119.29291923076893</v>
      </c>
      <c r="D117" s="138">
        <f t="shared" si="40"/>
        <v>1.1962112266216674E-2</v>
      </c>
      <c r="E117" s="86">
        <f>327.291607422307*(('2023 IR Data Book'!$A$5))</f>
        <v>89.117139743589547</v>
      </c>
      <c r="F117" s="138">
        <f t="shared" si="41"/>
        <v>5.8693490677516362E-3</v>
      </c>
      <c r="G117" s="140">
        <f t="shared" si="42"/>
        <v>30.175779487179383</v>
      </c>
      <c r="H117" s="139">
        <f>(C117/E117)-1</f>
        <v>0.33860803403253326</v>
      </c>
      <c r="I117" s="152"/>
      <c r="K117" s="20" t="s">
        <v>208</v>
      </c>
      <c r="L117" s="86">
        <f>2145.75992434769*(('2023 IR Data Book'!$A$5))</f>
        <v>584.26181025640949</v>
      </c>
      <c r="M117" s="138">
        <f>L117/$L$120</f>
        <v>1.9350999161050875E-2</v>
      </c>
      <c r="N117" s="86">
        <f>812.092148686152*(('2023 IR Data Book'!$A$5))</f>
        <v>221.12186153846102</v>
      </c>
      <c r="O117" s="138">
        <f>N117/$N$120</f>
        <v>3.4357892943201991E-3</v>
      </c>
      <c r="P117" s="140">
        <f t="shared" si="43"/>
        <v>363.13994871794847</v>
      </c>
      <c r="Q117" s="139">
        <f>(L117/N117)-1</f>
        <v>1.6422616298153105</v>
      </c>
    </row>
    <row r="118" spans="2:17" x14ac:dyDescent="0.2">
      <c r="B118" s="20" t="s">
        <v>209</v>
      </c>
      <c r="C118" s="86">
        <f>0*(('2023 IR Data Book'!$A$5))</f>
        <v>0</v>
      </c>
      <c r="D118" s="138">
        <f t="shared" si="40"/>
        <v>0</v>
      </c>
      <c r="E118" s="86">
        <f>0*(('2023 IR Data Book'!$A$5))</f>
        <v>0</v>
      </c>
      <c r="F118" s="138">
        <f t="shared" si="41"/>
        <v>0</v>
      </c>
      <c r="G118" s="140">
        <f t="shared" si="42"/>
        <v>0</v>
      </c>
      <c r="H118" s="139" t="e">
        <f>(C118/E118)-1</f>
        <v>#DIV/0!</v>
      </c>
      <c r="I118" s="152"/>
      <c r="K118" s="20" t="s">
        <v>209</v>
      </c>
      <c r="L118" s="86">
        <f>0*(('2023 IR Data Book'!$A$5))</f>
        <v>0</v>
      </c>
      <c r="M118" s="138">
        <f>L118/$L$120</f>
        <v>0</v>
      </c>
      <c r="N118" s="86">
        <f>0*(('2023 IR Data Book'!$A$5))</f>
        <v>0</v>
      </c>
      <c r="O118" s="138">
        <f>N118/$N$120</f>
        <v>0</v>
      </c>
      <c r="P118" s="140">
        <f t="shared" si="43"/>
        <v>0</v>
      </c>
      <c r="Q118" s="139" t="e">
        <f>(L118/N118)-1</f>
        <v>#DIV/0!</v>
      </c>
    </row>
    <row r="119" spans="2:17" x14ac:dyDescent="0.2">
      <c r="C119" s="86"/>
      <c r="D119" s="138"/>
      <c r="E119" s="86"/>
      <c r="F119" s="138"/>
      <c r="G119" s="140"/>
      <c r="H119" s="139"/>
      <c r="I119" s="152"/>
      <c r="L119" s="86"/>
      <c r="M119" s="138"/>
      <c r="N119" s="86"/>
      <c r="O119" s="138"/>
      <c r="P119" s="140"/>
      <c r="Q119" s="139"/>
    </row>
    <row r="120" spans="2:17" x14ac:dyDescent="0.2">
      <c r="B120" s="71" t="s">
        <v>210</v>
      </c>
      <c r="C120" s="87">
        <f>SUM(C114:C118)</f>
        <v>9972.563087179451</v>
      </c>
      <c r="D120" s="138">
        <f>C120/$C$120</f>
        <v>1</v>
      </c>
      <c r="E120" s="87">
        <f>SUM(E114:E118)</f>
        <v>15183.479243589703</v>
      </c>
      <c r="F120" s="138">
        <f>E120/$E$120</f>
        <v>1</v>
      </c>
      <c r="G120" s="141">
        <f>C120-E120</f>
        <v>-5210.9161564102524</v>
      </c>
      <c r="H120" s="142">
        <f>(C120/E120)-1</f>
        <v>-0.34319644877245403</v>
      </c>
      <c r="I120" s="222">
        <f>C120/$C$201</f>
        <v>2.713628041575987E-2</v>
      </c>
      <c r="K120" s="71" t="s">
        <v>210</v>
      </c>
      <c r="L120" s="87">
        <f>SUM(L114:L118)</f>
        <v>30192.849753846021</v>
      </c>
      <c r="M120" s="138">
        <f>L120/$L$120</f>
        <v>1</v>
      </c>
      <c r="N120" s="87">
        <f>SUM(N114:N118)</f>
        <v>64358.388305127977</v>
      </c>
      <c r="O120" s="138">
        <f>N120/$N$120</f>
        <v>1</v>
      </c>
      <c r="P120" s="141">
        <f>L120-N120</f>
        <v>-34165.538551281956</v>
      </c>
      <c r="Q120" s="142">
        <f>(L120/N120)-1</f>
        <v>-0.53086379959206809</v>
      </c>
    </row>
    <row r="121" spans="2:17" x14ac:dyDescent="0.2">
      <c r="C121" s="86"/>
      <c r="D121" s="143"/>
      <c r="E121" s="86"/>
      <c r="F121" s="143"/>
      <c r="G121" s="172"/>
      <c r="H121" s="139"/>
      <c r="I121" s="222">
        <f>E120/$E$201</f>
        <v>3.9097513366817924E-2</v>
      </c>
      <c r="L121" s="86"/>
      <c r="M121" s="143"/>
      <c r="N121" s="86"/>
      <c r="O121" s="143"/>
      <c r="P121" s="172"/>
      <c r="Q121" s="139"/>
    </row>
    <row r="122" spans="2:17" x14ac:dyDescent="0.2">
      <c r="B122" s="71" t="s">
        <v>31</v>
      </c>
      <c r="C122" s="87">
        <f>9249.36138935844*(('2023 IR Data Book'!$A$5))</f>
        <v>2518.4777512820456</v>
      </c>
      <c r="D122" s="138">
        <f>C122/$C$120</f>
        <v>0.25254066875944414</v>
      </c>
      <c r="E122" s="87">
        <f>15403.4593643638*(('2023 IR Data Book'!$A$5))</f>
        <v>4194.1565551281919</v>
      </c>
      <c r="F122" s="138">
        <f>E122/$E$120</f>
        <v>0.27623158617606819</v>
      </c>
      <c r="G122" s="141">
        <f>C122-E122</f>
        <v>-1675.6788038461464</v>
      </c>
      <c r="H122" s="142">
        <f>(C122/E122)-1</f>
        <v>-0.39952700425483523</v>
      </c>
      <c r="I122" s="152"/>
      <c r="K122" s="71" t="s">
        <v>31</v>
      </c>
      <c r="L122" s="87">
        <f>27277.4395128407*(('2023 IR Data Book'!$A$5))</f>
        <v>7427.2829910256223</v>
      </c>
      <c r="M122" s="138">
        <f>L122/$L$120</f>
        <v>0.24599476536922524</v>
      </c>
      <c r="N122" s="87">
        <f>66544.1010444991*(('2023 IR Data Book'!$A$5))</f>
        <v>18119.071242307655</v>
      </c>
      <c r="O122" s="138">
        <f>N122/$N$120</f>
        <v>0.28153394948928445</v>
      </c>
      <c r="P122" s="141">
        <f>L122-N122</f>
        <v>-10691.788251282032</v>
      </c>
      <c r="Q122" s="142">
        <f>(L122/N122)-1</f>
        <v>-0.59008478460622915</v>
      </c>
    </row>
    <row r="123" spans="2:17" x14ac:dyDescent="0.2">
      <c r="I123" s="152"/>
    </row>
    <row r="124" spans="2:17" x14ac:dyDescent="0.2">
      <c r="B124" s="71" t="s">
        <v>211</v>
      </c>
      <c r="C124" s="151" t="str">
        <f>$C$6</f>
        <v>Q3'23</v>
      </c>
      <c r="D124" s="135"/>
      <c r="E124" s="151" t="str">
        <f>$E$6</f>
        <v>Q3'22</v>
      </c>
      <c r="G124" s="171" t="s">
        <v>204</v>
      </c>
      <c r="H124" s="151" t="s">
        <v>27</v>
      </c>
      <c r="I124" s="152"/>
      <c r="K124" s="71" t="s">
        <v>211</v>
      </c>
      <c r="L124" s="151" t="str">
        <f>$L$6</f>
        <v>Sep YTD 2023</v>
      </c>
      <c r="M124" s="135"/>
      <c r="N124" s="151" t="str">
        <f>$N$6</f>
        <v>Sep YTD 2022</v>
      </c>
      <c r="P124" s="171" t="s">
        <v>204</v>
      </c>
      <c r="Q124" s="151" t="s">
        <v>27</v>
      </c>
    </row>
    <row r="125" spans="2:17" x14ac:dyDescent="0.2">
      <c r="B125" s="20" t="s">
        <v>206</v>
      </c>
      <c r="C125" s="83">
        <v>3</v>
      </c>
      <c r="D125" s="83"/>
      <c r="E125" s="83">
        <v>55</v>
      </c>
      <c r="F125" s="89"/>
      <c r="G125" s="140">
        <f t="shared" ref="G125:G127" si="44">C125-E125</f>
        <v>-52</v>
      </c>
      <c r="H125" s="139">
        <f t="shared" ref="H125:H127" si="45">(C125/E125)-1</f>
        <v>-0.94545454545454544</v>
      </c>
      <c r="I125" s="153"/>
      <c r="K125" s="20" t="s">
        <v>206</v>
      </c>
      <c r="L125" s="83">
        <v>170</v>
      </c>
      <c r="M125" s="83"/>
      <c r="N125" s="83">
        <v>697</v>
      </c>
      <c r="O125" s="89"/>
      <c r="P125" s="140">
        <f t="shared" ref="P125:P127" si="46">L125-N125</f>
        <v>-527</v>
      </c>
      <c r="Q125" s="139">
        <f t="shared" ref="Q125:Q127" si="47">(L125/N125)-1</f>
        <v>-0.75609756097560976</v>
      </c>
    </row>
    <row r="126" spans="2:17" x14ac:dyDescent="0.2">
      <c r="B126" s="20" t="s">
        <v>205</v>
      </c>
      <c r="C126" s="260">
        <v>215547</v>
      </c>
      <c r="D126" s="261"/>
      <c r="E126" s="260">
        <v>290514</v>
      </c>
      <c r="F126" s="144"/>
      <c r="G126" s="140">
        <f>C126-E126</f>
        <v>-74967</v>
      </c>
      <c r="H126" s="139">
        <v>-0.55650563316809376</v>
      </c>
      <c r="I126" s="152"/>
      <c r="K126" s="20" t="s">
        <v>205</v>
      </c>
      <c r="L126" s="260">
        <v>650842</v>
      </c>
      <c r="M126" s="261"/>
      <c r="N126" s="260">
        <v>1157469</v>
      </c>
      <c r="O126" s="144"/>
      <c r="P126" s="140">
        <f t="shared" si="46"/>
        <v>-506627</v>
      </c>
      <c r="Q126" s="139">
        <v>-0.55545761783676606</v>
      </c>
    </row>
    <row r="127" spans="2:17" x14ac:dyDescent="0.2">
      <c r="B127" s="146"/>
      <c r="C127" s="35">
        <f>C126+C125</f>
        <v>215550</v>
      </c>
      <c r="D127" s="35"/>
      <c r="E127" s="35">
        <f>E126+E125</f>
        <v>290569</v>
      </c>
      <c r="F127" s="146"/>
      <c r="G127" s="254">
        <f t="shared" si="44"/>
        <v>-75019</v>
      </c>
      <c r="H127" s="255">
        <f t="shared" si="45"/>
        <v>-0.25817964063613119</v>
      </c>
      <c r="I127" s="154"/>
      <c r="K127" s="146"/>
      <c r="L127" s="35">
        <f>L126+L125</f>
        <v>651012</v>
      </c>
      <c r="M127" s="35"/>
      <c r="N127" s="35">
        <f>N126+N125</f>
        <v>1158166</v>
      </c>
      <c r="O127" s="146"/>
      <c r="P127" s="254">
        <f t="shared" si="46"/>
        <v>-507154</v>
      </c>
      <c r="Q127" s="255">
        <f t="shared" si="47"/>
        <v>-0.43789404973034951</v>
      </c>
    </row>
    <row r="128" spans="2:17" x14ac:dyDescent="0.2">
      <c r="I128" s="152"/>
    </row>
    <row r="129" spans="2:17" x14ac:dyDescent="0.2">
      <c r="B129" s="71" t="s">
        <v>214</v>
      </c>
      <c r="I129" s="152"/>
      <c r="K129" s="71" t="s">
        <v>214</v>
      </c>
    </row>
    <row r="130" spans="2:17" x14ac:dyDescent="0.2">
      <c r="B130" s="58" t="str">
        <f>$B$3</f>
        <v xml:space="preserve">Q3'23 vs Q3'22 </v>
      </c>
      <c r="I130" s="152"/>
      <c r="K130" s="58" t="str">
        <f>$B$3</f>
        <v xml:space="preserve">Q3'23 vs Q3'22 </v>
      </c>
    </row>
    <row r="131" spans="2:17" x14ac:dyDescent="0.2">
      <c r="B131" s="50" t="s">
        <v>299</v>
      </c>
      <c r="I131" s="152"/>
      <c r="K131" s="50" t="s">
        <v>202</v>
      </c>
    </row>
    <row r="132" spans="2:17" x14ac:dyDescent="0.2">
      <c r="C132" s="151" t="s">
        <v>203</v>
      </c>
      <c r="D132" s="135"/>
      <c r="E132" s="151" t="s">
        <v>203</v>
      </c>
      <c r="I132" s="152"/>
      <c r="L132" s="151" t="s">
        <v>203</v>
      </c>
      <c r="M132" s="135"/>
      <c r="N132" s="151" t="s">
        <v>203</v>
      </c>
    </row>
    <row r="133" spans="2:17" x14ac:dyDescent="0.2">
      <c r="B133" s="136"/>
      <c r="C133" s="151" t="str">
        <f>$C$6</f>
        <v>Q3'23</v>
      </c>
      <c r="D133" s="135"/>
      <c r="E133" s="151" t="str">
        <f>$E$6</f>
        <v>Q3'22</v>
      </c>
      <c r="G133" s="171" t="s">
        <v>204</v>
      </c>
      <c r="H133" s="151" t="s">
        <v>27</v>
      </c>
      <c r="I133" s="152"/>
      <c r="K133" s="136"/>
      <c r="L133" s="151" t="str">
        <f>$L$6</f>
        <v>Sep YTD 2023</v>
      </c>
      <c r="M133" s="135"/>
      <c r="N133" s="151" t="str">
        <f>$N$6</f>
        <v>Sep YTD 2022</v>
      </c>
      <c r="P133" s="171" t="s">
        <v>204</v>
      </c>
      <c r="Q133" s="151" t="s">
        <v>27</v>
      </c>
    </row>
    <row r="134" spans="2:17" x14ac:dyDescent="0.2">
      <c r="H134" s="137"/>
      <c r="I134" s="152"/>
      <c r="Q134" s="137"/>
    </row>
    <row r="135" spans="2:17" x14ac:dyDescent="0.2">
      <c r="B135" s="20" t="s">
        <v>205</v>
      </c>
      <c r="C135" s="86">
        <f>75984.8027589927*(('2023 IR Data Book'!$A$5))</f>
        <v>20689.648412294475</v>
      </c>
      <c r="D135" s="138">
        <f>C135/$C$141</f>
        <v>0.75289630948313369</v>
      </c>
      <c r="E135" s="86">
        <f>86345.066632628*(('2023 IR Data Book'!$A$5))</f>
        <v>23510.61009438218</v>
      </c>
      <c r="F135" s="138">
        <f>E135/$E$141</f>
        <v>0.69837304577336323</v>
      </c>
      <c r="G135" s="140">
        <f>C135-E135</f>
        <v>-2820.9616820877054</v>
      </c>
      <c r="H135" s="139">
        <f>(C135/E135)-1</f>
        <v>-0.11998674941922371</v>
      </c>
      <c r="I135" s="152"/>
      <c r="K135" s="20" t="s">
        <v>205</v>
      </c>
      <c r="L135" s="86">
        <f>224394.262599505*(('2023 IR Data Book'!$A$5))</f>
        <v>61099.565049149096</v>
      </c>
      <c r="M135" s="138">
        <f>L135/$L$141</f>
        <v>0.75307769934871038</v>
      </c>
      <c r="N135" s="86">
        <f>282816.615773542*(('2023 IR Data Book'!$A$5))</f>
        <v>77007.192662838861</v>
      </c>
      <c r="O135" s="138">
        <f>N135/$N$141</f>
        <v>0.73995011236960817</v>
      </c>
      <c r="P135" s="140">
        <f>L135-N135</f>
        <v>-15907.627613689765</v>
      </c>
      <c r="Q135" s="139">
        <f>(L135/N135)-1</f>
        <v>-0.20657327015332505</v>
      </c>
    </row>
    <row r="136" spans="2:17" x14ac:dyDescent="0.2">
      <c r="B136" s="20" t="s">
        <v>206</v>
      </c>
      <c r="C136" s="86">
        <f>3012.33803600876*(('2023 IR Data Book'!$A$5))</f>
        <v>820.21947285540477</v>
      </c>
      <c r="D136" s="138">
        <f t="shared" ref="D136:D139" si="48">C136/$C$141</f>
        <v>2.984778676625905E-2</v>
      </c>
      <c r="E136" s="86">
        <f>3276.17592509662*(('2023 IR Data Book'!$A$5))</f>
        <v>892.05901135343356</v>
      </c>
      <c r="F136" s="138">
        <f t="shared" ref="F136:F139" si="49">E136/$E$141</f>
        <v>2.6498247653612996E-2</v>
      </c>
      <c r="G136" s="140">
        <f t="shared" ref="G136:G139" si="50">C136-E136</f>
        <v>-71.839538498028787</v>
      </c>
      <c r="H136" s="139">
        <f>(C136/E136)-1</f>
        <v>-8.0532271501897235E-2</v>
      </c>
      <c r="I136" s="152"/>
      <c r="K136" s="20" t="s">
        <v>206</v>
      </c>
      <c r="L136" s="86">
        <f>9636.63896385179*(('2023 IR Data Book'!$A$5))</f>
        <v>2623.9282698501852</v>
      </c>
      <c r="M136" s="138">
        <f>L136/$L$141</f>
        <v>3.2341013608284903E-2</v>
      </c>
      <c r="N136" s="86">
        <f>10358.6787616504*(('2023 IR Data Book'!$A$5))</f>
        <v>2820.5300772342212</v>
      </c>
      <c r="O136" s="138">
        <f>N136/$N$141</f>
        <v>2.7102033919468721E-2</v>
      </c>
      <c r="P136" s="140">
        <f t="shared" ref="P136:P139" si="51">L136-N136</f>
        <v>-196.60180738403596</v>
      </c>
      <c r="Q136" s="139">
        <f>(L136/N136)-1</f>
        <v>-6.9703850694909586E-2</v>
      </c>
    </row>
    <row r="137" spans="2:17" x14ac:dyDescent="0.2">
      <c r="B137" s="20" t="s">
        <v>207</v>
      </c>
      <c r="C137" s="86">
        <f>16927.3188316961*(('2023 IR Data Book'!$A$5))</f>
        <v>4609.0831649774273</v>
      </c>
      <c r="D137" s="138">
        <f t="shared" si="48"/>
        <v>0.16772453721109448</v>
      </c>
      <c r="E137" s="86">
        <f>27171.4966330628*(('2023 IR Data Book'!$A$5))</f>
        <v>7398.4361577799928</v>
      </c>
      <c r="F137" s="138">
        <f t="shared" si="49"/>
        <v>0.21976751656917687</v>
      </c>
      <c r="G137" s="81">
        <f t="shared" si="50"/>
        <v>-2789.3529928025655</v>
      </c>
      <c r="H137" s="82">
        <f>(C137/E137)-1</f>
        <v>-0.37701926911531947</v>
      </c>
      <c r="I137" s="152"/>
      <c r="K137" s="20" t="s">
        <v>207</v>
      </c>
      <c r="L137" s="86">
        <f>49666.0935408205*(('2023 IR Data Book'!$A$5))</f>
        <v>13523.414894303898</v>
      </c>
      <c r="M137" s="138">
        <f>L137/$L$141</f>
        <v>0.1666817458970159</v>
      </c>
      <c r="N137" s="86">
        <f>71234.2513608211*(('2023 IR Data Book'!$A$5))</f>
        <v>19396.136622779803</v>
      </c>
      <c r="O137" s="138">
        <f>N137/$N$141</f>
        <v>0.18637445383057152</v>
      </c>
      <c r="P137" s="81">
        <f t="shared" si="51"/>
        <v>-5872.7217284759045</v>
      </c>
      <c r="Q137" s="82">
        <f>(L137/N137)-1</f>
        <v>-0.30277791101856255</v>
      </c>
    </row>
    <row r="138" spans="2:17" x14ac:dyDescent="0.2">
      <c r="B138" s="20" t="s">
        <v>208</v>
      </c>
      <c r="C138" s="86">
        <f>4909.39269804638*(('2023 IR Data Book'!$A$5))</f>
        <v>1336.762157067576</v>
      </c>
      <c r="D138" s="138">
        <f t="shared" si="48"/>
        <v>4.8644775138606468E-2</v>
      </c>
      <c r="E138" s="86">
        <f>6506.18074916526*(('2023 IR Data Book'!$A$5))</f>
        <v>1771.5462476624896</v>
      </c>
      <c r="F138" s="138">
        <f t="shared" si="49"/>
        <v>5.2623055877399481E-2</v>
      </c>
      <c r="G138" s="140">
        <f t="shared" si="50"/>
        <v>-434.78409059491355</v>
      </c>
      <c r="H138" s="139">
        <f>(C138/E138)-1</f>
        <v>-0.24542632808406784</v>
      </c>
      <c r="I138" s="152"/>
      <c r="K138" s="20" t="s">
        <v>208</v>
      </c>
      <c r="L138" s="86">
        <f>13832.966371646*(('2023 IR Data Book'!$A$5))</f>
        <v>3766.5322582491967</v>
      </c>
      <c r="M138" s="138">
        <f>L138/$L$141</f>
        <v>4.6424085757129467E-2</v>
      </c>
      <c r="N138" s="86">
        <f>16904.2691400822*(('2023 IR Data Book'!$A$5))</f>
        <v>4602.8070413554969</v>
      </c>
      <c r="O138" s="138">
        <f>N138/$N$141</f>
        <v>4.4227655491591161E-2</v>
      </c>
      <c r="P138" s="140">
        <f t="shared" si="51"/>
        <v>-836.27478310630022</v>
      </c>
      <c r="Q138" s="139">
        <f>(L138/N138)-1</f>
        <v>-0.18168799508484779</v>
      </c>
    </row>
    <row r="139" spans="2:17" x14ac:dyDescent="0.2">
      <c r="B139" s="20" t="s">
        <v>209</v>
      </c>
      <c r="C139" s="86">
        <f>89.4777566009406*(('2023 IR Data Book'!$A$5))</f>
        <v>24.363599793318247</v>
      </c>
      <c r="D139" s="138">
        <f t="shared" si="48"/>
        <v>8.865914009062219E-4</v>
      </c>
      <c r="E139" s="86">
        <f>338.53593724447*(('2023 IR Data Book'!$A$5))</f>
        <v>92.17882079302673</v>
      </c>
      <c r="F139" s="138">
        <f t="shared" si="49"/>
        <v>2.7381341264472525E-3</v>
      </c>
      <c r="G139" s="140">
        <f t="shared" si="50"/>
        <v>-67.815220999708487</v>
      </c>
      <c r="H139" s="139">
        <f>(C139/E139)-1</f>
        <v>-0.73569199970541022</v>
      </c>
      <c r="I139" s="152"/>
      <c r="K139" s="20" t="s">
        <v>209</v>
      </c>
      <c r="L139" s="86">
        <f>439.640855475982*(('2023 IR Data Book'!$A$5))</f>
        <v>119.70834163153678</v>
      </c>
      <c r="M139" s="138">
        <f>L139/$L$141</f>
        <v>1.4754553888593131E-3</v>
      </c>
      <c r="N139" s="86">
        <f>896.567861006892*(('2023 IR Data Book'!$A$5))</f>
        <v>244.12347138454828</v>
      </c>
      <c r="O139" s="138">
        <f>N139/$N$141</f>
        <v>2.3457443887605301E-3</v>
      </c>
      <c r="P139" s="140">
        <f t="shared" si="51"/>
        <v>-124.4151297530115</v>
      </c>
      <c r="Q139" s="139">
        <f>(L139/N139)-1</f>
        <v>-0.50964017940343909</v>
      </c>
    </row>
    <row r="140" spans="2:17" x14ac:dyDescent="0.2">
      <c r="C140" s="86"/>
      <c r="D140" s="138"/>
      <c r="E140" s="86"/>
      <c r="F140" s="138"/>
      <c r="G140" s="140"/>
      <c r="H140" s="139"/>
      <c r="I140" s="152"/>
      <c r="L140" s="86"/>
      <c r="M140" s="138"/>
      <c r="N140" s="86"/>
      <c r="O140" s="138"/>
      <c r="P140" s="140"/>
      <c r="Q140" s="139"/>
    </row>
    <row r="141" spans="2:17" x14ac:dyDescent="0.2">
      <c r="B141" s="71" t="s">
        <v>210</v>
      </c>
      <c r="C141" s="244">
        <f>(SUM(C135:C139))</f>
        <v>27480.076806988203</v>
      </c>
      <c r="D141" s="245">
        <f>C141/$C$141</f>
        <v>1</v>
      </c>
      <c r="E141" s="244">
        <f>(SUM(E135:E139))</f>
        <v>33664.830331971127</v>
      </c>
      <c r="F141" s="138">
        <f>E141/$E$141</f>
        <v>1</v>
      </c>
      <c r="G141" s="141">
        <f>C141-E141</f>
        <v>-6184.7535249829234</v>
      </c>
      <c r="H141" s="142">
        <f>(C141/E141)-1</f>
        <v>-0.18371557093841429</v>
      </c>
      <c r="I141" s="222">
        <f>C141/$C$201</f>
        <v>7.4775868907735341E-2</v>
      </c>
      <c r="K141" s="71" t="s">
        <v>210</v>
      </c>
      <c r="L141" s="87">
        <f>SUM(L135:L139)</f>
        <v>81133.148813183914</v>
      </c>
      <c r="M141" s="138">
        <f>L141/$L$141</f>
        <v>1</v>
      </c>
      <c r="N141" s="87">
        <f>SUM(N135:N139)</f>
        <v>104070.78987559292</v>
      </c>
      <c r="O141" s="138">
        <f>N141/$N$141</f>
        <v>1</v>
      </c>
      <c r="P141" s="141">
        <f>L141-N141</f>
        <v>-22937.641062409006</v>
      </c>
      <c r="Q141" s="142">
        <f>(L141/N141)-1</f>
        <v>-0.22040421803110033</v>
      </c>
    </row>
    <row r="142" spans="2:17" x14ac:dyDescent="0.2">
      <c r="C142" s="86"/>
      <c r="D142" s="143"/>
      <c r="E142" s="86"/>
      <c r="F142" s="143"/>
      <c r="G142" s="172"/>
      <c r="H142" s="139"/>
      <c r="I142" s="222">
        <f>E141/$E$201</f>
        <v>8.6687058531172173E-2</v>
      </c>
      <c r="L142" s="86"/>
      <c r="M142" s="143"/>
      <c r="N142" s="86"/>
      <c r="O142" s="143"/>
      <c r="P142" s="172"/>
      <c r="Q142" s="139"/>
    </row>
    <row r="143" spans="2:17" x14ac:dyDescent="0.2">
      <c r="B143" s="71" t="s">
        <v>31</v>
      </c>
      <c r="C143" s="87">
        <f>20305.4417845053*(('2023 IR Data Book'!$A$5))</f>
        <v>5528.9009923501872</v>
      </c>
      <c r="D143" s="138">
        <f>C143/$C$141</f>
        <v>0.20119670811633916</v>
      </c>
      <c r="E143" s="87">
        <f>22753.5925414361*(('2023 IR Data Book'!$A$5))</f>
        <v>6195.4997934531666</v>
      </c>
      <c r="F143" s="138">
        <f>E143/$E$141</f>
        <v>0.18403478444296115</v>
      </c>
      <c r="G143" s="141">
        <f>C143-E143</f>
        <v>-666.59880110297945</v>
      </c>
      <c r="H143" s="142">
        <f>(C143/E143)-1</f>
        <v>-0.10759403168851356</v>
      </c>
      <c r="I143" s="152"/>
      <c r="K143" s="71" t="s">
        <v>31</v>
      </c>
      <c r="L143" s="87">
        <f>60823.578756782*(('2023 IR Data Book'!$A$5))</f>
        <v>16561.449315684255</v>
      </c>
      <c r="M143" s="138">
        <f>L143/$L$141</f>
        <v>0.2041267910582199</v>
      </c>
      <c r="N143" s="87">
        <f>58096.5004170953*(('2023 IR Data Book'!$A$5))</f>
        <v>15818.902253742663</v>
      </c>
      <c r="O143" s="138">
        <f>N143/$N$141</f>
        <v>0.15200136630703687</v>
      </c>
      <c r="P143" s="141">
        <f>L143-N143</f>
        <v>742.54706194159189</v>
      </c>
      <c r="Q143" s="142">
        <f>(L143/N143)-1</f>
        <v>4.6940492458375838E-2</v>
      </c>
    </row>
    <row r="144" spans="2:17" x14ac:dyDescent="0.2">
      <c r="I144" s="152"/>
    </row>
    <row r="145" spans="2:17" x14ac:dyDescent="0.2">
      <c r="B145" s="71" t="s">
        <v>211</v>
      </c>
      <c r="C145" s="151" t="str">
        <f>$C$6</f>
        <v>Q3'23</v>
      </c>
      <c r="D145" s="135"/>
      <c r="E145" s="151" t="str">
        <f>$E$6</f>
        <v>Q3'22</v>
      </c>
      <c r="G145" s="171" t="s">
        <v>204</v>
      </c>
      <c r="H145" s="151" t="s">
        <v>27</v>
      </c>
      <c r="I145" s="152"/>
      <c r="K145" s="71" t="s">
        <v>211</v>
      </c>
      <c r="L145" s="151" t="str">
        <f>$L$6</f>
        <v>Sep YTD 2023</v>
      </c>
      <c r="M145" s="135"/>
      <c r="N145" s="151" t="str">
        <f>$N$6</f>
        <v>Sep YTD 2022</v>
      </c>
      <c r="P145" s="171" t="s">
        <v>204</v>
      </c>
      <c r="Q145" s="151" t="s">
        <v>27</v>
      </c>
    </row>
    <row r="146" spans="2:17" x14ac:dyDescent="0.2">
      <c r="B146" s="20" t="s">
        <v>206</v>
      </c>
      <c r="C146" s="83">
        <v>272228</v>
      </c>
      <c r="D146" s="83"/>
      <c r="E146" s="83">
        <v>301208</v>
      </c>
      <c r="F146" s="89"/>
      <c r="G146" s="140">
        <f t="shared" ref="G146:G148" si="52">C146-E146</f>
        <v>-28980</v>
      </c>
      <c r="H146" s="139">
        <f t="shared" ref="H146:H148" si="53">(C146/E146)-1</f>
        <v>-9.621258399511301E-2</v>
      </c>
      <c r="I146" s="153"/>
      <c r="K146" s="20" t="s">
        <v>206</v>
      </c>
      <c r="L146" s="83">
        <v>830181</v>
      </c>
      <c r="M146" s="83"/>
      <c r="N146" s="83">
        <v>943295</v>
      </c>
      <c r="O146" s="89"/>
      <c r="P146" s="140">
        <f t="shared" ref="P146:P148" si="54">L146-N146</f>
        <v>-113114</v>
      </c>
      <c r="Q146" s="139">
        <f t="shared" ref="Q146:Q148" si="55">(L146/N146)-1</f>
        <v>-0.11991370674073332</v>
      </c>
    </row>
    <row r="147" spans="2:17" x14ac:dyDescent="0.2">
      <c r="B147" s="20" t="s">
        <v>205</v>
      </c>
      <c r="C147" s="260">
        <v>826282</v>
      </c>
      <c r="D147" s="261"/>
      <c r="E147" s="260">
        <v>761353</v>
      </c>
      <c r="F147" s="144"/>
      <c r="G147" s="140">
        <f t="shared" si="52"/>
        <v>64929</v>
      </c>
      <c r="H147" s="139">
        <v>0.13060304479641593</v>
      </c>
      <c r="I147" s="152"/>
      <c r="K147" s="20" t="s">
        <v>205</v>
      </c>
      <c r="L147" s="260">
        <v>2333738</v>
      </c>
      <c r="M147" s="261"/>
      <c r="N147" s="260">
        <v>2197179</v>
      </c>
      <c r="O147" s="144"/>
      <c r="P147" s="140">
        <f t="shared" si="54"/>
        <v>136559</v>
      </c>
      <c r="Q147" s="139">
        <v>9.2529686198911776E-2</v>
      </c>
    </row>
    <row r="148" spans="2:17" x14ac:dyDescent="0.2">
      <c r="B148" s="146"/>
      <c r="C148" s="35">
        <f>C147+C146</f>
        <v>1098510</v>
      </c>
      <c r="D148" s="35"/>
      <c r="E148" s="35">
        <f>E147+E146</f>
        <v>1062561</v>
      </c>
      <c r="F148" s="146"/>
      <c r="G148" s="254">
        <f t="shared" si="52"/>
        <v>35949</v>
      </c>
      <c r="H148" s="255">
        <f t="shared" si="53"/>
        <v>3.3832410562781856E-2</v>
      </c>
      <c r="I148" s="154"/>
      <c r="K148" s="146"/>
      <c r="L148" s="35">
        <f>L147+L146</f>
        <v>3163919</v>
      </c>
      <c r="M148" s="35"/>
      <c r="N148" s="35">
        <f>N147+N146</f>
        <v>3140474</v>
      </c>
      <c r="O148" s="146"/>
      <c r="P148" s="254">
        <f t="shared" si="54"/>
        <v>23445</v>
      </c>
      <c r="Q148" s="255">
        <f t="shared" si="55"/>
        <v>7.4654335619399603E-3</v>
      </c>
    </row>
    <row r="149" spans="2:17" x14ac:dyDescent="0.2">
      <c r="I149" s="152"/>
    </row>
    <row r="150" spans="2:17" x14ac:dyDescent="0.2">
      <c r="B150" s="71" t="s">
        <v>195</v>
      </c>
      <c r="I150" s="152"/>
      <c r="K150" s="71" t="s">
        <v>195</v>
      </c>
    </row>
    <row r="151" spans="2:17" x14ac:dyDescent="0.2">
      <c r="B151" s="58" t="str">
        <f>$B$3</f>
        <v xml:space="preserve">Q3'23 vs Q3'22 </v>
      </c>
      <c r="I151" s="152"/>
      <c r="K151" s="58" t="str">
        <f>$B$3</f>
        <v xml:space="preserve">Q3'23 vs Q3'22 </v>
      </c>
    </row>
    <row r="152" spans="2:17" x14ac:dyDescent="0.2">
      <c r="B152" s="50" t="s">
        <v>299</v>
      </c>
      <c r="I152" s="152"/>
      <c r="K152" s="50" t="s">
        <v>202</v>
      </c>
    </row>
    <row r="153" spans="2:17" x14ac:dyDescent="0.2">
      <c r="C153" s="151" t="s">
        <v>203</v>
      </c>
      <c r="D153" s="135"/>
      <c r="E153" s="151" t="s">
        <v>203</v>
      </c>
      <c r="I153" s="152"/>
      <c r="L153" s="151" t="s">
        <v>203</v>
      </c>
      <c r="M153" s="135"/>
      <c r="N153" s="151" t="s">
        <v>203</v>
      </c>
    </row>
    <row r="154" spans="2:17" x14ac:dyDescent="0.2">
      <c r="B154" s="136"/>
      <c r="C154" s="151" t="str">
        <f>$C$6</f>
        <v>Q3'23</v>
      </c>
      <c r="D154" s="135"/>
      <c r="E154" s="151" t="str">
        <f>$E$6</f>
        <v>Q3'22</v>
      </c>
      <c r="G154" s="171" t="s">
        <v>204</v>
      </c>
      <c r="H154" s="151" t="s">
        <v>27</v>
      </c>
      <c r="I154" s="152"/>
      <c r="K154" s="136"/>
      <c r="L154" s="151" t="str">
        <f>$L$6</f>
        <v>Sep YTD 2023</v>
      </c>
      <c r="M154" s="135"/>
      <c r="N154" s="151" t="str">
        <f>$N$6</f>
        <v>Sep YTD 2022</v>
      </c>
      <c r="P154" s="171" t="s">
        <v>204</v>
      </c>
      <c r="Q154" s="151" t="s">
        <v>27</v>
      </c>
    </row>
    <row r="155" spans="2:17" x14ac:dyDescent="0.2">
      <c r="H155" s="137"/>
      <c r="I155" s="152"/>
      <c r="Q155" s="137"/>
    </row>
    <row r="156" spans="2:17" x14ac:dyDescent="0.2">
      <c r="B156" s="20" t="s">
        <v>205</v>
      </c>
      <c r="C156" s="86">
        <f>1952.05984572892*(('2023 IR Data Book'!$A$5))</f>
        <v>531.51986214913677</v>
      </c>
      <c r="D156" s="138">
        <f>C156/$C$162</f>
        <v>1.510830735836447E-2</v>
      </c>
      <c r="E156" s="86">
        <f>2629.64328489195*(('2023 IR Data Book'!$A$5))</f>
        <v>716.01679597341115</v>
      </c>
      <c r="F156" s="138">
        <f>E156/$E$162</f>
        <v>1.9951440579033572E-2</v>
      </c>
      <c r="G156" s="140">
        <f>C156-E156</f>
        <v>-184.49693382427438</v>
      </c>
      <c r="H156" s="139">
        <f>(C156/E156)-1</f>
        <v>-0.25767123740924869</v>
      </c>
      <c r="I156" s="152"/>
      <c r="K156" s="20" t="s">
        <v>205</v>
      </c>
      <c r="L156" s="86">
        <f>6032.40722244455*(('2023 IR Data Book'!$A$5))</f>
        <v>1642.5440348648233</v>
      </c>
      <c r="M156" s="138">
        <f>L156/$L$162</f>
        <v>1.6085932718067252E-2</v>
      </c>
      <c r="N156" s="86">
        <f>7277.07722436305*(('2023 IR Data Book'!$A$5))</f>
        <v>1981.4510767203205</v>
      </c>
      <c r="O156" s="138">
        <f>N156/$N$162</f>
        <v>1.842491120012104E-2</v>
      </c>
      <c r="P156" s="140">
        <f>L156-N156</f>
        <v>-338.90704185549725</v>
      </c>
      <c r="Q156" s="139">
        <f>(L156/N156)-1</f>
        <v>-0.17103982320696665</v>
      </c>
    </row>
    <row r="157" spans="2:17" x14ac:dyDescent="0.2">
      <c r="B157" s="20" t="s">
        <v>206</v>
      </c>
      <c r="C157" s="86">
        <f>122531.235168137*(('2023 IR Data Book'!$A$5))</f>
        <v>33363.621186118005</v>
      </c>
      <c r="D157" s="138">
        <f t="shared" ref="D157:D160" si="56">C157/$C$162</f>
        <v>0.94835184790606608</v>
      </c>
      <c r="E157" s="86">
        <f>125806.198932858*(('2023 IR Data Book'!$A$5))</f>
        <v>34255.350142367257</v>
      </c>
      <c r="F157" s="138">
        <f t="shared" ref="F157:F164" si="57">E157/$E$162</f>
        <v>0.95450775278295108</v>
      </c>
      <c r="G157" s="140">
        <f t="shared" ref="G157:G160" si="58">C157-E157</f>
        <v>-891.7289562492515</v>
      </c>
      <c r="H157" s="139">
        <f>(C157/E157)-1</f>
        <v>-2.6031815542482351E-2</v>
      </c>
      <c r="I157" s="152"/>
      <c r="K157" s="20" t="s">
        <v>206</v>
      </c>
      <c r="L157" s="86">
        <f>356248.216254316*(('2023 IR Data Book'!$A$5))</f>
        <v>97001.638145813849</v>
      </c>
      <c r="M157" s="138">
        <f>L157/$L$162</f>
        <v>0.94996651026423218</v>
      </c>
      <c r="N157" s="86">
        <f>379042.55598754*(('2023 IR Data Book'!$A$5))</f>
        <v>103208.23285616183</v>
      </c>
      <c r="O157" s="138">
        <f>N157/$N$162</f>
        <v>0.9597019819655157</v>
      </c>
      <c r="P157" s="140">
        <f t="shared" ref="P157:P160" si="59">L157-N157</f>
        <v>-6206.5947103479848</v>
      </c>
      <c r="Q157" s="139">
        <f>(L157/N157)-1</f>
        <v>-6.0136624168325103E-2</v>
      </c>
    </row>
    <row r="158" spans="2:17" x14ac:dyDescent="0.2">
      <c r="B158" s="20" t="s">
        <v>207</v>
      </c>
      <c r="C158" s="86">
        <f>3084.58187225494*(('2023 IR Data Book'!$A$5))</f>
        <v>839.89050597803737</v>
      </c>
      <c r="D158" s="138">
        <f t="shared" si="56"/>
        <v>2.3873658945463828E-2</v>
      </c>
      <c r="E158" s="86">
        <f>1787.13926931157*(('2023 IR Data Book'!$A$5))</f>
        <v>486.61418867057938</v>
      </c>
      <c r="F158" s="138">
        <f t="shared" si="57"/>
        <v>1.3559254649853521E-2</v>
      </c>
      <c r="G158" s="81">
        <f t="shared" si="58"/>
        <v>353.27631730745799</v>
      </c>
      <c r="H158" s="82">
        <f>(C158/E158)-1</f>
        <v>0.72598852547354209</v>
      </c>
      <c r="I158" s="152"/>
      <c r="K158" s="20" t="s">
        <v>207</v>
      </c>
      <c r="L158" s="86">
        <f>7829.08145937555*(('2023 IR Data Book'!$A$5))</f>
        <v>2131.7544680541168</v>
      </c>
      <c r="M158" s="138">
        <f>L158/$L$162</f>
        <v>2.0876919106390866E-2</v>
      </c>
      <c r="N158" s="86">
        <f>4203.18593231092*(('2023 IR Data Book'!$A$5))</f>
        <v>1144.4714731555084</v>
      </c>
      <c r="O158" s="138">
        <f>N158/$N$162</f>
        <v>1.06420923088672E-2</v>
      </c>
      <c r="P158" s="81">
        <f t="shared" si="59"/>
        <v>987.28299489860842</v>
      </c>
      <c r="Q158" s="82">
        <f>(L158/N158)-1</f>
        <v>0.86265408798394616</v>
      </c>
    </row>
    <row r="159" spans="2:17" x14ac:dyDescent="0.2">
      <c r="B159" s="20" t="s">
        <v>208</v>
      </c>
      <c r="C159" s="86">
        <f>169.181679671474*(('2023 IR Data Book'!$A$5))</f>
        <v>46.065915066022434</v>
      </c>
      <c r="D159" s="138">
        <f t="shared" si="56"/>
        <v>1.3094110928379532E-3</v>
      </c>
      <c r="E159" s="86">
        <f>212.410829557654*(('2023 IR Data Book'!$A$5))</f>
        <v>57.836636050115452</v>
      </c>
      <c r="F159" s="138">
        <f t="shared" si="57"/>
        <v>1.6115881833139562E-3</v>
      </c>
      <c r="G159" s="140">
        <f t="shared" si="58"/>
        <v>-11.770720984093018</v>
      </c>
      <c r="H159" s="139">
        <f>(C159/E159)-1</f>
        <v>-0.20351669439926778</v>
      </c>
      <c r="I159" s="152"/>
      <c r="K159" s="20" t="s">
        <v>208</v>
      </c>
      <c r="L159" s="86">
        <f>468.981626788389*(('2023 IR Data Book'!$A$5))</f>
        <v>127.69744235375184</v>
      </c>
      <c r="M159" s="138">
        <f>L159/$L$162</f>
        <v>1.2505798458796102E-3</v>
      </c>
      <c r="N159" s="86">
        <f>212.410829557654*(('2023 IR Data Book'!$A$5))</f>
        <v>57.836636050115452</v>
      </c>
      <c r="O159" s="138">
        <f>N159/$N$162</f>
        <v>5.3780529625839946E-4</v>
      </c>
      <c r="P159" s="140">
        <f t="shared" si="59"/>
        <v>69.860806303636394</v>
      </c>
      <c r="Q159" s="139">
        <f>(L159/N159)-1</f>
        <v>1.2078988522621197</v>
      </c>
    </row>
    <row r="160" spans="2:17" x14ac:dyDescent="0.2">
      <c r="B160" s="20" t="s">
        <v>209</v>
      </c>
      <c r="C160" s="86">
        <f>1467.34530465142*(('2023 IR Data Book'!$A$5))</f>
        <v>399.53855705805694</v>
      </c>
      <c r="D160" s="138">
        <f t="shared" si="56"/>
        <v>1.1356774697267759E-2</v>
      </c>
      <c r="E160" s="86">
        <f>1366.78379568477*(('2023 IR Data Book'!$A$5))</f>
        <v>372.15699931513637</v>
      </c>
      <c r="F160" s="138">
        <f t="shared" si="57"/>
        <v>1.0369963804847821E-2</v>
      </c>
      <c r="G160" s="140">
        <f t="shared" si="58"/>
        <v>27.381557742920563</v>
      </c>
      <c r="H160" s="139">
        <f>(C160/E160)-1</f>
        <v>7.3575286218745317E-2</v>
      </c>
      <c r="I160" s="152"/>
      <c r="K160" s="20" t="s">
        <v>209</v>
      </c>
      <c r="L160" s="86">
        <f>4432.65584242613*(('2023 IR Data Book'!$A$5))</f>
        <v>1206.9530693312993</v>
      </c>
      <c r="M160" s="138">
        <f>L160/$L$162</f>
        <v>1.1820058065430092E-2</v>
      </c>
      <c r="N160" s="86">
        <f>4223.37499987102*(('2023 IR Data Book'!$A$5))</f>
        <v>1149.9686869985894</v>
      </c>
      <c r="O160" s="138">
        <f>N160/$N$162</f>
        <v>1.0693209229237746E-2</v>
      </c>
      <c r="P160" s="140">
        <f t="shared" si="59"/>
        <v>56.984382332709856</v>
      </c>
      <c r="Q160" s="139">
        <f>(L160/N160)-1</f>
        <v>4.9552986074289374E-2</v>
      </c>
    </row>
    <row r="161" spans="2:17" x14ac:dyDescent="0.2">
      <c r="C161" s="86"/>
      <c r="D161" s="138"/>
      <c r="E161" s="86"/>
      <c r="F161" s="138"/>
      <c r="G161" s="140"/>
      <c r="H161" s="139"/>
      <c r="I161" s="152"/>
      <c r="L161" s="86"/>
      <c r="M161" s="138"/>
      <c r="N161" s="86"/>
      <c r="O161" s="138"/>
      <c r="P161" s="140"/>
      <c r="Q161" s="139"/>
    </row>
    <row r="162" spans="2:17" x14ac:dyDescent="0.2">
      <c r="B162" s="71" t="s">
        <v>210</v>
      </c>
      <c r="C162" s="87">
        <f>SUM(C156:C160)</f>
        <v>35180.636026369255</v>
      </c>
      <c r="D162" s="138">
        <f>C162/$C$162</f>
        <v>1</v>
      </c>
      <c r="E162" s="87">
        <f>SUM(E156:E160)</f>
        <v>35887.9747623765</v>
      </c>
      <c r="F162" s="138">
        <f t="shared" si="57"/>
        <v>1</v>
      </c>
      <c r="G162" s="141">
        <f>C162-E162</f>
        <v>-707.33873600724473</v>
      </c>
      <c r="H162" s="142">
        <f>(C162/E162)-1</f>
        <v>-1.9709630891425745E-2</v>
      </c>
      <c r="I162" s="222"/>
      <c r="K162" s="71" t="s">
        <v>210</v>
      </c>
      <c r="L162" s="87">
        <f>SUM(L156:L160)</f>
        <v>102110.58716041784</v>
      </c>
      <c r="M162" s="138">
        <f>L162/$L$162</f>
        <v>1</v>
      </c>
      <c r="N162" s="87">
        <f>SUM(N156:N160)</f>
        <v>107541.96072908636</v>
      </c>
      <c r="O162" s="138">
        <f>N162/$N$162</f>
        <v>1</v>
      </c>
      <c r="P162" s="141">
        <f>L162-N162</f>
        <v>-5431.373568668525</v>
      </c>
      <c r="Q162" s="142">
        <f>(L162/N162)-1</f>
        <v>-5.0504691674265967E-2</v>
      </c>
    </row>
    <row r="163" spans="2:17" x14ac:dyDescent="0.2">
      <c r="C163" s="86"/>
      <c r="D163" s="143"/>
      <c r="E163" s="86"/>
      <c r="F163" s="143"/>
      <c r="G163" s="172"/>
      <c r="H163" s="139"/>
      <c r="I163" s="222"/>
      <c r="L163" s="86"/>
      <c r="M163" s="143"/>
      <c r="N163" s="86"/>
      <c r="O163" s="143"/>
      <c r="P163" s="172"/>
      <c r="Q163" s="139"/>
    </row>
    <row r="164" spans="2:17" x14ac:dyDescent="0.2">
      <c r="B164" s="71" t="s">
        <v>31</v>
      </c>
      <c r="C164" s="87">
        <f>20314.9267003736*(('2023 IR Data Book'!$A$5))</f>
        <v>5531.4836084445888</v>
      </c>
      <c r="D164" s="138">
        <f>C164/$C$162</f>
        <v>0.15723091544730819</v>
      </c>
      <c r="E164" s="87">
        <f>31495.9669567194*(('2023 IR Data Book'!$A$5))</f>
        <v>8575.9317531774213</v>
      </c>
      <c r="F164" s="138">
        <f t="shared" si="57"/>
        <v>0.2389639373623301</v>
      </c>
      <c r="G164" s="141">
        <f>C164-E164</f>
        <v>-3044.4481447328326</v>
      </c>
      <c r="H164" s="142">
        <f>(C164/E164)-1</f>
        <v>-0.35499911057534372</v>
      </c>
      <c r="I164" s="152"/>
      <c r="K164" s="71" t="s">
        <v>31</v>
      </c>
      <c r="L164" s="87">
        <f>64567.9109266444*(('2023 IR Data Book'!$A$5))</f>
        <v>17580.981028874474</v>
      </c>
      <c r="M164" s="138">
        <f>L164/$L$162</f>
        <v>0.17217588810114656</v>
      </c>
      <c r="N164" s="87">
        <f>93933.1462693745*(('2023 IR Data Book'!$A$5))</f>
        <v>25576.742980279501</v>
      </c>
      <c r="O164" s="138">
        <f>N164/$N$162</f>
        <v>0.23783035762860033</v>
      </c>
      <c r="P164" s="141">
        <f>L164-N164</f>
        <v>-7995.7619514050275</v>
      </c>
      <c r="Q164" s="142">
        <f>(L164/N164)-1</f>
        <v>-0.31261845800968557</v>
      </c>
    </row>
    <row r="165" spans="2:17" x14ac:dyDescent="0.2">
      <c r="I165" s="152"/>
    </row>
    <row r="166" spans="2:17" x14ac:dyDescent="0.2">
      <c r="B166" s="71" t="s">
        <v>211</v>
      </c>
      <c r="C166" s="151" t="str">
        <f>$C$6</f>
        <v>Q3'23</v>
      </c>
      <c r="D166" s="135"/>
      <c r="E166" s="151" t="str">
        <f>$E$6</f>
        <v>Q3'22</v>
      </c>
      <c r="G166" s="171" t="s">
        <v>204</v>
      </c>
      <c r="H166" s="151" t="s">
        <v>27</v>
      </c>
      <c r="I166" s="152"/>
      <c r="K166" s="71" t="s">
        <v>211</v>
      </c>
      <c r="L166" s="151" t="str">
        <f>$L$6</f>
        <v>Sep YTD 2023</v>
      </c>
      <c r="M166" s="135"/>
      <c r="N166" s="151" t="str">
        <f>$N$6</f>
        <v>Sep YTD 2022</v>
      </c>
      <c r="P166" s="171" t="s">
        <v>204</v>
      </c>
      <c r="Q166" s="151" t="s">
        <v>27</v>
      </c>
    </row>
    <row r="167" spans="2:17" x14ac:dyDescent="0.2">
      <c r="B167" s="20" t="s">
        <v>206</v>
      </c>
      <c r="C167" s="83">
        <v>10319009</v>
      </c>
      <c r="D167" s="83"/>
      <c r="E167" s="83">
        <v>10561187</v>
      </c>
      <c r="F167" s="89"/>
      <c r="G167" s="140">
        <f t="shared" ref="G167:G169" si="60">C167-E167</f>
        <v>-242178</v>
      </c>
      <c r="H167" s="139">
        <f t="shared" ref="H167:H169" si="61">(C167/E167)-1</f>
        <v>-2.2930945167432437E-2</v>
      </c>
      <c r="I167" s="153"/>
      <c r="K167" s="20" t="s">
        <v>206</v>
      </c>
      <c r="L167" s="83">
        <v>30255230</v>
      </c>
      <c r="M167" s="83"/>
      <c r="N167" s="83">
        <v>31132984</v>
      </c>
      <c r="O167" s="89"/>
      <c r="P167" s="140">
        <f t="shared" ref="P167:P169" si="62">L167-N167</f>
        <v>-877754</v>
      </c>
      <c r="Q167" s="139">
        <f t="shared" ref="Q167:Q169" si="63">(L167/N167)-1</f>
        <v>-2.8193699646651305E-2</v>
      </c>
    </row>
    <row r="168" spans="2:17" x14ac:dyDescent="0.2">
      <c r="B168" s="20" t="s">
        <v>205</v>
      </c>
      <c r="C168" s="260">
        <v>6416</v>
      </c>
      <c r="D168" s="261"/>
      <c r="E168" s="260">
        <v>7288</v>
      </c>
      <c r="F168" s="144"/>
      <c r="G168" s="140">
        <f t="shared" si="60"/>
        <v>-872</v>
      </c>
      <c r="H168" s="139">
        <v>8.8418932527693839E-2</v>
      </c>
      <c r="I168" s="152"/>
      <c r="K168" s="20" t="s">
        <v>205</v>
      </c>
      <c r="L168" s="260">
        <v>19527</v>
      </c>
      <c r="M168" s="261"/>
      <c r="N168" s="260">
        <v>17313</v>
      </c>
      <c r="O168" s="144"/>
      <c r="P168" s="140">
        <f t="shared" si="62"/>
        <v>2214</v>
      </c>
      <c r="Q168" s="139">
        <v>5.972515856236793E-2</v>
      </c>
    </row>
    <row r="169" spans="2:17" x14ac:dyDescent="0.2">
      <c r="B169" s="146"/>
      <c r="C169" s="35">
        <f>C168+C167</f>
        <v>10325425</v>
      </c>
      <c r="D169" s="35"/>
      <c r="E169" s="35">
        <f>E168+E167</f>
        <v>10568475</v>
      </c>
      <c r="F169" s="146"/>
      <c r="G169" s="254">
        <f t="shared" si="60"/>
        <v>-243050</v>
      </c>
      <c r="H169" s="255">
        <f t="shared" si="61"/>
        <v>-2.2997641570803751E-2</v>
      </c>
      <c r="I169" s="154"/>
      <c r="K169" s="146"/>
      <c r="L169" s="35">
        <f>L168+L167</f>
        <v>30274757</v>
      </c>
      <c r="M169" s="35"/>
      <c r="N169" s="35">
        <f>N168+N167</f>
        <v>31150297</v>
      </c>
      <c r="O169" s="146"/>
      <c r="P169" s="254">
        <f t="shared" si="62"/>
        <v>-875540</v>
      </c>
      <c r="Q169" s="255">
        <f t="shared" si="63"/>
        <v>-2.8106955127907729E-2</v>
      </c>
    </row>
    <row r="170" spans="2:17" x14ac:dyDescent="0.2">
      <c r="I170" s="152"/>
    </row>
    <row r="171" spans="2:17" x14ac:dyDescent="0.2">
      <c r="B171" s="71" t="s">
        <v>196</v>
      </c>
      <c r="I171" s="152"/>
      <c r="K171" s="71" t="s">
        <v>196</v>
      </c>
      <c r="L171" s="92"/>
      <c r="M171" s="92"/>
      <c r="N171" s="92"/>
      <c r="O171" s="133"/>
    </row>
    <row r="172" spans="2:17" x14ac:dyDescent="0.2">
      <c r="B172" s="58" t="str">
        <f>$B$3</f>
        <v xml:space="preserve">Q3'23 vs Q3'22 </v>
      </c>
      <c r="I172" s="152"/>
      <c r="K172" s="58" t="str">
        <f>$B$3</f>
        <v xml:space="preserve">Q3'23 vs Q3'22 </v>
      </c>
    </row>
    <row r="173" spans="2:17" x14ac:dyDescent="0.2">
      <c r="B173" s="50" t="s">
        <v>299</v>
      </c>
      <c r="I173" s="152"/>
      <c r="K173" s="50" t="s">
        <v>202</v>
      </c>
    </row>
    <row r="174" spans="2:17" x14ac:dyDescent="0.2">
      <c r="C174" s="151" t="s">
        <v>203</v>
      </c>
      <c r="D174" s="135"/>
      <c r="E174" s="151" t="s">
        <v>203</v>
      </c>
      <c r="I174" s="152"/>
      <c r="L174" s="151" t="s">
        <v>203</v>
      </c>
      <c r="M174" s="135"/>
      <c r="N174" s="151" t="s">
        <v>203</v>
      </c>
    </row>
    <row r="175" spans="2:17" x14ac:dyDescent="0.2">
      <c r="B175" s="136"/>
      <c r="C175" s="151" t="str">
        <f>$C$6</f>
        <v>Q3'23</v>
      </c>
      <c r="D175" s="135"/>
      <c r="E175" s="151" t="str">
        <f>$E$6</f>
        <v>Q3'22</v>
      </c>
      <c r="G175" s="171" t="s">
        <v>204</v>
      </c>
      <c r="H175" s="151" t="s">
        <v>27</v>
      </c>
      <c r="I175" s="152"/>
      <c r="K175" s="136"/>
      <c r="L175" s="151" t="str">
        <f>$L$6</f>
        <v>Sep YTD 2023</v>
      </c>
      <c r="M175" s="135"/>
      <c r="N175" s="151" t="str">
        <f>$N$6</f>
        <v>Sep YTD 2022</v>
      </c>
      <c r="P175" s="171" t="s">
        <v>204</v>
      </c>
      <c r="Q175" s="151" t="s">
        <v>27</v>
      </c>
    </row>
    <row r="176" spans="2:17" x14ac:dyDescent="0.2">
      <c r="H176" s="137"/>
      <c r="I176" s="152"/>
      <c r="Q176" s="137"/>
    </row>
    <row r="177" spans="2:17" x14ac:dyDescent="0.2">
      <c r="B177" s="20" t="s">
        <v>205</v>
      </c>
      <c r="C177" s="86">
        <f>9242.55957307844*(('2023 IR Data Book'!$A$5))</f>
        <v>2516.6257074221098</v>
      </c>
      <c r="D177" s="138">
        <f>C177/$C$183</f>
        <v>1.359281597430565</v>
      </c>
      <c r="E177" s="86">
        <f>6283.54824899978*(('2023 IR Data Book'!$A$5))</f>
        <v>1710.9263870282034</v>
      </c>
      <c r="F177" s="138">
        <f>E177/$E$183</f>
        <v>0.93767720885427785</v>
      </c>
      <c r="G177" s="140">
        <f>C177-E177</f>
        <v>805.69932039390642</v>
      </c>
      <c r="H177" s="139">
        <f>(C177/E177)-1</f>
        <v>0.470914077018455</v>
      </c>
      <c r="I177" s="152"/>
      <c r="K177" s="20" t="s">
        <v>205</v>
      </c>
      <c r="L177" s="86">
        <f>20998.654993532*(('2023 IR Data Book'!$A$5))</f>
        <v>5717.653704060338</v>
      </c>
      <c r="M177" s="138">
        <f>L177/$L$183</f>
        <v>0.91420366054132218</v>
      </c>
      <c r="N177" s="86">
        <f>20288.8453538524*(('2023 IR Data Book'!$A$5))</f>
        <v>5524.3820056233726</v>
      </c>
      <c r="O177" s="138">
        <f>N177/$N$183</f>
        <v>0.94672950261176059</v>
      </c>
      <c r="P177" s="140">
        <f>L177-N177</f>
        <v>193.27169843696538</v>
      </c>
      <c r="Q177" s="139">
        <f>(L177/N177)-1</f>
        <v>3.4985216127384033E-2</v>
      </c>
    </row>
    <row r="178" spans="2:17" x14ac:dyDescent="0.2">
      <c r="B178" s="20" t="s">
        <v>206</v>
      </c>
      <c r="C178" s="86">
        <f>661.07534520002*(('2023 IR Data Book'!$A$5))</f>
        <v>180.00200000000544</v>
      </c>
      <c r="D178" s="138">
        <f t="shared" ref="D178:D181" si="64">C178/$C$183</f>
        <v>9.7222803287396145E-2</v>
      </c>
      <c r="E178" s="86">
        <f>0*(('2023 IR Data Book'!$A$5))</f>
        <v>0</v>
      </c>
      <c r="F178" s="138">
        <f t="shared" ref="F178:F181" si="65">E178/$E$183</f>
        <v>0</v>
      </c>
      <c r="G178" s="140">
        <f t="shared" ref="G178:G181" si="66">C178-E178</f>
        <v>180.00200000000544</v>
      </c>
      <c r="H178" s="139" t="e">
        <f>(C178/E178)-1</f>
        <v>#DIV/0!</v>
      </c>
      <c r="I178" s="152"/>
      <c r="K178" s="20" t="s">
        <v>206</v>
      </c>
      <c r="L178" s="86">
        <f>661.075345199831*(('2023 IR Data Book'!$A$5))</f>
        <v>180.00199999995397</v>
      </c>
      <c r="M178" s="138">
        <f>L178/$L$183</f>
        <v>2.8780771942843848E-2</v>
      </c>
      <c r="N178" s="86">
        <f>-8.5175361164147E-11*(('2023 IR Data Book'!$A$5))</f>
        <v>-2.319211489520966E-11</v>
      </c>
      <c r="O178" s="138">
        <f>N178/$N$183</f>
        <v>-3.9745005643901073E-15</v>
      </c>
      <c r="P178" s="140">
        <f t="shared" ref="P178:P181" si="67">L178-N178</f>
        <v>180.00199999997716</v>
      </c>
      <c r="Q178" s="139">
        <f>(L178/N178)-1</f>
        <v>-7761344785212.1777</v>
      </c>
    </row>
    <row r="179" spans="2:17" x14ac:dyDescent="0.2">
      <c r="B179" s="20" t="s">
        <v>207</v>
      </c>
      <c r="C179" s="86">
        <f>-3642.60220319999*(('2023 IR Data Book'!$A$5))</f>
        <v>-991.83199999999727</v>
      </c>
      <c r="D179" s="138">
        <f t="shared" si="64"/>
        <v>-0.53570897784547677</v>
      </c>
      <c r="E179" s="86">
        <f>-5.34433638677001E-11*(('2023 IR Data Book'!$A$5))</f>
        <v>-1.4551915228366852E-11</v>
      </c>
      <c r="F179" s="138">
        <f t="shared" si="65"/>
        <v>-7.975211182825812E-15</v>
      </c>
      <c r="G179" s="81">
        <f t="shared" si="66"/>
        <v>-991.83199999998271</v>
      </c>
      <c r="H179" s="82">
        <f>(C179/E179)-1</f>
        <v>68158176050019.164</v>
      </c>
      <c r="I179" s="152"/>
      <c r="K179" s="20" t="s">
        <v>207</v>
      </c>
      <c r="L179" s="86">
        <f>1.00206307251938E-10*(('2023 IR Data Book'!$A$5))</f>
        <v>2.7284841053187928E-11</v>
      </c>
      <c r="M179" s="138">
        <f>L179/$L$183</f>
        <v>4.3626114590323775E-15</v>
      </c>
      <c r="N179" s="86">
        <f>0*(('2023 IR Data Book'!$A$5))</f>
        <v>0</v>
      </c>
      <c r="O179" s="138">
        <f>N179/$N$183</f>
        <v>0</v>
      </c>
      <c r="P179" s="81">
        <f t="shared" si="67"/>
        <v>2.7284841053187928E-11</v>
      </c>
      <c r="Q179" s="82" t="e">
        <f>(L179/N179)-1</f>
        <v>#DIV/0!</v>
      </c>
    </row>
    <row r="180" spans="2:17" x14ac:dyDescent="0.2">
      <c r="B180" s="20" t="s">
        <v>208</v>
      </c>
      <c r="C180" s="86">
        <f>0*(('2023 IR Data Book'!$A$5))</f>
        <v>0</v>
      </c>
      <c r="D180" s="138">
        <f t="shared" si="64"/>
        <v>0</v>
      </c>
      <c r="E180" s="86">
        <f>2.17113665712532E-11*(('2023 IR Data Book'!$A$5))</f>
        <v>5.9117155615240432E-12</v>
      </c>
      <c r="F180" s="138">
        <f t="shared" si="65"/>
        <v>3.2399295430229914E-15</v>
      </c>
      <c r="G180" s="140">
        <f t="shared" si="66"/>
        <v>-5.9117155615240432E-12</v>
      </c>
      <c r="H180" s="139">
        <f>(C180/E180)-1</f>
        <v>-1</v>
      </c>
      <c r="I180" s="152"/>
      <c r="K180" s="20" t="s">
        <v>208</v>
      </c>
      <c r="L180" s="86">
        <f>3.34021024173125E-11*(('2023 IR Data Book'!$A$5))</f>
        <v>9.0949470177292646E-12</v>
      </c>
      <c r="M180" s="138">
        <f>L180/$L$183</f>
        <v>1.4542038196774519E-15</v>
      </c>
      <c r="N180" s="86">
        <f>0*(('2023 IR Data Book'!$A$5))</f>
        <v>0</v>
      </c>
      <c r="O180" s="138">
        <f>N180/$N$183</f>
        <v>0</v>
      </c>
      <c r="P180" s="140">
        <f t="shared" si="67"/>
        <v>9.0949470177292646E-12</v>
      </c>
      <c r="Q180" s="139" t="e">
        <f>(L180/N180)-1</f>
        <v>#DIV/0!</v>
      </c>
    </row>
    <row r="181" spans="2:17" x14ac:dyDescent="0.2">
      <c r="B181" s="20" t="s">
        <v>209</v>
      </c>
      <c r="C181" s="86">
        <f>538.558768061998*(('2023 IR Data Book'!$A$5))</f>
        <v>146.64236999999943</v>
      </c>
      <c r="D181" s="138">
        <f t="shared" si="64"/>
        <v>7.9204577127515677E-2</v>
      </c>
      <c r="E181" s="86">
        <f>417.636540035997*(('2023 IR Data Book'!$A$5))</f>
        <v>113.71685999999917</v>
      </c>
      <c r="F181" s="138">
        <f t="shared" si="65"/>
        <v>6.232279114572694E-2</v>
      </c>
      <c r="G181" s="140">
        <f t="shared" si="66"/>
        <v>32.925510000000259</v>
      </c>
      <c r="H181" s="139">
        <f>(C181/E181)-1</f>
        <v>0.28953938756311515</v>
      </c>
      <c r="I181" s="152"/>
      <c r="K181" s="20" t="s">
        <v>209</v>
      </c>
      <c r="L181" s="86">
        <f>1309.609973358*(('2023 IR Data Book'!$A$5))</f>
        <v>356.58932999999996</v>
      </c>
      <c r="M181" s="138">
        <f>L181/$L$183</f>
        <v>5.701556751582821E-2</v>
      </c>
      <c r="N181" s="86">
        <f>1141.611073122*(('2023 IR Data Book'!$A$5))</f>
        <v>310.84547000000003</v>
      </c>
      <c r="O181" s="138">
        <f>N181/$N$183</f>
        <v>5.3270497388243451E-2</v>
      </c>
      <c r="P181" s="140">
        <f t="shared" si="67"/>
        <v>45.743859999999927</v>
      </c>
      <c r="Q181" s="139">
        <f>(L181/N181)-1</f>
        <v>0.14715948731696149</v>
      </c>
    </row>
    <row r="182" spans="2:17" x14ac:dyDescent="0.2">
      <c r="C182" s="86"/>
      <c r="D182" s="138"/>
      <c r="E182" s="86"/>
      <c r="F182" s="138"/>
      <c r="G182" s="140"/>
      <c r="H182" s="139"/>
      <c r="I182" s="152"/>
      <c r="L182" s="86"/>
      <c r="M182" s="138"/>
      <c r="N182" s="86"/>
      <c r="O182" s="138"/>
      <c r="P182" s="140"/>
      <c r="Q182" s="139"/>
    </row>
    <row r="183" spans="2:17" x14ac:dyDescent="0.2">
      <c r="B183" s="71" t="s">
        <v>210</v>
      </c>
      <c r="C183" s="87">
        <f>SUM(C177:C181)</f>
        <v>1851.4380774221174</v>
      </c>
      <c r="D183" s="138">
        <f>C183/$C$183</f>
        <v>1</v>
      </c>
      <c r="E183" s="87">
        <f>SUM(E177:E181)</f>
        <v>1824.6432470281939</v>
      </c>
      <c r="F183" s="138">
        <f>E183/$E$183</f>
        <v>1</v>
      </c>
      <c r="G183" s="141">
        <f>C183-E183</f>
        <v>26.794830393923576</v>
      </c>
      <c r="H183" s="142">
        <f>(C183/E183)-1</f>
        <v>1.4684969479685561E-2</v>
      </c>
      <c r="I183" s="152"/>
      <c r="K183" s="71" t="s">
        <v>210</v>
      </c>
      <c r="L183" s="87">
        <f>SUM(L177:L181)</f>
        <v>6254.2450340603282</v>
      </c>
      <c r="M183" s="138">
        <f>L183/$L$183</f>
        <v>1</v>
      </c>
      <c r="N183" s="87">
        <f>SUM(N177:N181)</f>
        <v>5835.2274756233492</v>
      </c>
      <c r="O183" s="138">
        <f>N183/$N$183</f>
        <v>1</v>
      </c>
      <c r="P183" s="141">
        <f>L183-N183</f>
        <v>419.01755843697902</v>
      </c>
      <c r="Q183" s="142">
        <f>(L183/N183)-1</f>
        <v>7.1808264577075009E-2</v>
      </c>
    </row>
    <row r="184" spans="2:17" x14ac:dyDescent="0.2">
      <c r="C184" s="86"/>
      <c r="D184" s="143"/>
      <c r="E184" s="86"/>
      <c r="F184" s="143"/>
      <c r="G184" s="172"/>
      <c r="H184" s="139"/>
      <c r="I184" s="152"/>
      <c r="L184" s="86"/>
      <c r="M184" s="143"/>
      <c r="N184" s="86"/>
      <c r="O184" s="143"/>
      <c r="P184" s="172"/>
      <c r="Q184" s="139"/>
    </row>
    <row r="185" spans="2:17" x14ac:dyDescent="0.2">
      <c r="B185" s="71" t="s">
        <v>31</v>
      </c>
      <c r="C185" s="87">
        <f>25644.0883062644*(('2023 IR Data Book'!$A$5))</f>
        <v>6982.5432408278593</v>
      </c>
      <c r="D185" s="138"/>
      <c r="E185" s="87">
        <f>25457.6829627161*(('2023 IR Data Book'!$A$5))</f>
        <v>6931.7875517933062</v>
      </c>
      <c r="F185" s="144"/>
      <c r="G185" s="141">
        <f>C185-E185</f>
        <v>50.755689034553143</v>
      </c>
      <c r="H185" s="142">
        <f>(C185/E185)-1</f>
        <v>7.3221645434622395E-3</v>
      </c>
      <c r="I185" s="152"/>
      <c r="K185" s="71" t="s">
        <v>31</v>
      </c>
      <c r="L185" s="87">
        <f>62412.2539147834*(('2023 IR Data Book'!$A$5))</f>
        <v>16994.024373681696</v>
      </c>
      <c r="M185" s="138"/>
      <c r="N185" s="87">
        <f>101601.859318522*(('2023 IR Data Book'!$A$5))</f>
        <v>27664.831268997983</v>
      </c>
      <c r="O185" s="144"/>
      <c r="P185" s="141">
        <f>L185-N185</f>
        <v>-10670.806895316287</v>
      </c>
      <c r="Q185" s="142">
        <f>(L185/N185)-1</f>
        <v>-0.3857174038604857</v>
      </c>
    </row>
    <row r="186" spans="2:17" x14ac:dyDescent="0.2">
      <c r="C186" s="2">
        <f>C185/C183</f>
        <v>3.7714160284259286</v>
      </c>
      <c r="E186" s="2">
        <f>E185/E183</f>
        <v>3.7989823835882142</v>
      </c>
      <c r="I186" s="152"/>
      <c r="L186" s="2">
        <f>L185/L183</f>
        <v>2.7171983638525559</v>
      </c>
      <c r="N186" s="2">
        <f>N185/N183</f>
        <v>4.7410030516492734</v>
      </c>
    </row>
    <row r="187" spans="2:17" x14ac:dyDescent="0.2">
      <c r="B187" s="146"/>
      <c r="C187" s="146"/>
      <c r="D187" s="146"/>
      <c r="E187" s="146"/>
      <c r="F187" s="146"/>
      <c r="G187" s="35"/>
      <c r="H187" s="146"/>
      <c r="I187" s="154"/>
      <c r="K187" s="146"/>
      <c r="L187" s="146"/>
      <c r="M187" s="146"/>
      <c r="N187" s="146"/>
      <c r="O187" s="146"/>
      <c r="P187" s="35"/>
      <c r="Q187" s="146"/>
    </row>
    <row r="188" spans="2:17" x14ac:dyDescent="0.2">
      <c r="I188" s="152"/>
    </row>
    <row r="189" spans="2:17" x14ac:dyDescent="0.2">
      <c r="B189" s="71" t="s">
        <v>215</v>
      </c>
      <c r="I189" s="152"/>
      <c r="K189" s="71" t="s">
        <v>215</v>
      </c>
    </row>
    <row r="190" spans="2:17" x14ac:dyDescent="0.2">
      <c r="B190" s="58" t="str">
        <f>$B$3</f>
        <v xml:space="preserve">Q3'23 vs Q3'22 </v>
      </c>
      <c r="I190" s="152"/>
      <c r="K190" s="58" t="str">
        <f>$B$3</f>
        <v xml:space="preserve">Q3'23 vs Q3'22 </v>
      </c>
    </row>
    <row r="191" spans="2:17" x14ac:dyDescent="0.2">
      <c r="B191" s="50" t="s">
        <v>299</v>
      </c>
      <c r="I191" s="152"/>
      <c r="K191" s="50" t="s">
        <v>202</v>
      </c>
    </row>
    <row r="192" spans="2:17" x14ac:dyDescent="0.2">
      <c r="C192" s="151" t="s">
        <v>203</v>
      </c>
      <c r="D192" s="135"/>
      <c r="E192" s="151" t="s">
        <v>203</v>
      </c>
      <c r="I192" s="152"/>
      <c r="L192" s="151" t="s">
        <v>203</v>
      </c>
      <c r="M192" s="135"/>
      <c r="N192" s="151" t="s">
        <v>203</v>
      </c>
    </row>
    <row r="193" spans="2:17" x14ac:dyDescent="0.2">
      <c r="B193" s="136"/>
      <c r="C193" s="151" t="str">
        <f>$C$6</f>
        <v>Q3'23</v>
      </c>
      <c r="D193" s="135"/>
      <c r="E193" s="151" t="str">
        <f>$E$6</f>
        <v>Q3'22</v>
      </c>
      <c r="G193" s="171" t="s">
        <v>204</v>
      </c>
      <c r="H193" s="151" t="s">
        <v>27</v>
      </c>
      <c r="I193" s="152"/>
      <c r="K193" s="136"/>
      <c r="L193" s="151" t="str">
        <f>$L$6</f>
        <v>Sep YTD 2023</v>
      </c>
      <c r="M193" s="135"/>
      <c r="N193" s="151" t="str">
        <f>$N$6</f>
        <v>Sep YTD 2022</v>
      </c>
      <c r="P193" s="171" t="s">
        <v>204</v>
      </c>
      <c r="Q193" s="151" t="s">
        <v>27</v>
      </c>
    </row>
    <row r="194" spans="2:17" x14ac:dyDescent="0.2">
      <c r="H194" s="137"/>
      <c r="I194" s="152"/>
      <c r="Q194" s="137"/>
    </row>
    <row r="195" spans="2:17" x14ac:dyDescent="0.2">
      <c r="B195" s="20" t="s">
        <v>205</v>
      </c>
      <c r="C195" s="86">
        <f>C8+C30+C51+C72+C93+C114+C135+C156+C177</f>
        <v>139397.41727874722</v>
      </c>
      <c r="D195" s="138">
        <f>C195/$C$201</f>
        <v>0.37931345948282658</v>
      </c>
      <c r="E195" s="86">
        <f>E8+E30+E51+E72+E93+E114+E135+E156+E177</f>
        <v>134489.85418165461</v>
      </c>
      <c r="F195" s="138">
        <f>E195/$E$201</f>
        <v>0.34631185561692623</v>
      </c>
      <c r="G195" s="140">
        <f>C195-E195</f>
        <v>4907.563097092614</v>
      </c>
      <c r="H195" s="139">
        <f>(C195/E195)-1</f>
        <v>3.6490210558664193E-2</v>
      </c>
      <c r="I195" s="152"/>
      <c r="K195" s="20" t="s">
        <v>205</v>
      </c>
      <c r="L195" s="86">
        <f>L8+L30+L51+L72+L93+L114+L135+L156+L177</f>
        <v>446433.87758263812</v>
      </c>
      <c r="M195" s="138">
        <f>L195/$L$201</f>
        <v>0.39318172783546851</v>
      </c>
      <c r="N195" s="86">
        <f>N8+N30+N51+N72+N93+N114+N135+N156+N177</f>
        <v>446913.94104240451</v>
      </c>
      <c r="O195" s="138">
        <f>N195/$N$201</f>
        <v>0.37372989854612859</v>
      </c>
      <c r="P195" s="140">
        <f>L195-N195</f>
        <v>-480.06345976638841</v>
      </c>
      <c r="Q195" s="139">
        <f>(L195/N195)-1</f>
        <v>-1.0741742775950414E-3</v>
      </c>
    </row>
    <row r="196" spans="2:17" x14ac:dyDescent="0.2">
      <c r="B196" s="20" t="s">
        <v>206</v>
      </c>
      <c r="C196" s="86">
        <f>C9+C31+C52+C73+C94+C115+C136+C157+C178</f>
        <v>96007.422034040355</v>
      </c>
      <c r="D196" s="138">
        <f t="shared" ref="D196:D199" si="68">C196/$C$201</f>
        <v>0.26124520883294577</v>
      </c>
      <c r="E196" s="86">
        <f>E9+E31+E52+E73+E94+E115+E136+E157+E178</f>
        <v>100696.95117226754</v>
      </c>
      <c r="F196" s="138">
        <f t="shared" ref="F196:F199" si="69">E196/$E$201</f>
        <v>0.2592950094832645</v>
      </c>
      <c r="G196" s="140">
        <f t="shared" ref="G196:G199" si="70">C196-E196</f>
        <v>-4689.5291382271826</v>
      </c>
      <c r="H196" s="139">
        <f>(C196/E196)-1</f>
        <v>-4.6570716229576425E-2</v>
      </c>
      <c r="I196" s="152"/>
      <c r="K196" s="20" t="s">
        <v>206</v>
      </c>
      <c r="L196" s="86">
        <f>L9+L31+L52+L73+L94+L115+L136+L157+L178</f>
        <v>290157.96282365435</v>
      </c>
      <c r="M196" s="138">
        <f>L196/$L$201</f>
        <v>0.25554693516086519</v>
      </c>
      <c r="N196" s="86">
        <f>N9+N31+N52+N73+N94+N115+N136+N157+N178</f>
        <v>301871.17533136287</v>
      </c>
      <c r="O196" s="138">
        <f>N196/$N$201</f>
        <v>0.25243849737031654</v>
      </c>
      <c r="P196" s="140">
        <f t="shared" ref="P196:P199" si="71">L196-N196</f>
        <v>-11713.212507708522</v>
      </c>
      <c r="Q196" s="139">
        <f>(L196/N196)-1</f>
        <v>-3.8802023727011914E-2</v>
      </c>
    </row>
    <row r="197" spans="2:17" x14ac:dyDescent="0.2">
      <c r="B197" s="20" t="s">
        <v>207</v>
      </c>
      <c r="C197" s="86">
        <f>C10+C32+C53+C74+C95+C116+C137+C158+C179</f>
        <v>100177.30745756917</v>
      </c>
      <c r="D197" s="138">
        <f t="shared" si="68"/>
        <v>0.27259185855230805</v>
      </c>
      <c r="E197" s="86">
        <f>E10+E32+E53+E74+E95+E116+E137+E158+E179</f>
        <v>119678.13919301615</v>
      </c>
      <c r="F197" s="138">
        <f t="shared" si="69"/>
        <v>0.3081716365364886</v>
      </c>
      <c r="G197" s="81">
        <f t="shared" si="70"/>
        <v>-19500.831735446976</v>
      </c>
      <c r="H197" s="82">
        <f>(C197/E197)-1</f>
        <v>-0.16294397512311043</v>
      </c>
      <c r="I197" s="152"/>
      <c r="K197" s="20" t="s">
        <v>207</v>
      </c>
      <c r="L197" s="86">
        <f>L10+L32+L53+L74+L95+L116+L137+L158+L179</f>
        <v>302769.97451189236</v>
      </c>
      <c r="M197" s="138">
        <f>L197/$L$201</f>
        <v>0.26665454324364252</v>
      </c>
      <c r="N197" s="86">
        <f>N10+N32+N53+N74+N95+N116+N137+N158+N179</f>
        <v>346722.97854051122</v>
      </c>
      <c r="O197" s="138">
        <f>N197/$N$201</f>
        <v>0.28994562866245827</v>
      </c>
      <c r="P197" s="81">
        <f t="shared" si="71"/>
        <v>-43953.00402861886</v>
      </c>
      <c r="Q197" s="82">
        <f>(L197/N197)-1</f>
        <v>-0.12676691984371435</v>
      </c>
    </row>
    <row r="198" spans="2:17" x14ac:dyDescent="0.2">
      <c r="B198" s="20" t="s">
        <v>208</v>
      </c>
      <c r="C198" s="86">
        <f>C11+C33+C54+C75+C96+C117+C138+C159+C180</f>
        <v>28539.185002819646</v>
      </c>
      <c r="D198" s="138">
        <f t="shared" si="68"/>
        <v>7.7657801740996582E-2</v>
      </c>
      <c r="E198" s="86">
        <f>E11+E33+E54+E75+E96+E117+E138+E159+E180</f>
        <v>30080.737298305125</v>
      </c>
      <c r="F198" s="138">
        <f t="shared" si="69"/>
        <v>7.7458006148409739E-2</v>
      </c>
      <c r="G198" s="140">
        <f t="shared" si="70"/>
        <v>-1541.5522954854787</v>
      </c>
      <c r="H198" s="139">
        <f>(C198/E198)-1</f>
        <v>-5.1247157946901045E-2</v>
      </c>
      <c r="I198" s="152"/>
      <c r="K198" s="20" t="s">
        <v>208</v>
      </c>
      <c r="L198" s="86">
        <f>L11+L33+L54+L75+L96+L117+L138+L159+L180</f>
        <v>86607.15549617025</v>
      </c>
      <c r="M198" s="138">
        <f>L198/$L$201</f>
        <v>7.6276359727193807E-2</v>
      </c>
      <c r="N198" s="86">
        <f>N11+N33+N54+N75+N96+N117+N138+N159+N180</f>
        <v>91035.2147412591</v>
      </c>
      <c r="O198" s="138">
        <f>N198/$N$201</f>
        <v>7.6127814428925217E-2</v>
      </c>
      <c r="P198" s="140">
        <f t="shared" si="71"/>
        <v>-4428.0592450888507</v>
      </c>
      <c r="Q198" s="139">
        <f>(L198/N198)-1</f>
        <v>-4.864116877929392E-2</v>
      </c>
    </row>
    <row r="199" spans="2:17" x14ac:dyDescent="0.2">
      <c r="B199" s="20" t="s">
        <v>209</v>
      </c>
      <c r="C199" s="86">
        <f>C12+C34+C55+C76+C97+C118+C139+C160+C181</f>
        <v>3377.9324733601693</v>
      </c>
      <c r="D199" s="138">
        <f t="shared" si="68"/>
        <v>9.1916713909230754E-3</v>
      </c>
      <c r="E199" s="86">
        <f>E12+E34+E55+E76+E97+E118+E139+E160+E181</f>
        <v>3403.293219649825</v>
      </c>
      <c r="F199" s="138">
        <f t="shared" si="69"/>
        <v>8.7634922149109149E-3</v>
      </c>
      <c r="G199" s="140">
        <f t="shared" si="70"/>
        <v>-25.360746289655708</v>
      </c>
      <c r="H199" s="139">
        <f>(C199/E199)-1</f>
        <v>-7.4518252330503243E-3</v>
      </c>
      <c r="I199" s="152"/>
      <c r="K199" s="20" t="s">
        <v>209</v>
      </c>
      <c r="L199" s="86">
        <f>L12+L34+L55+L76+L97+L118+L139+L160+L181</f>
        <v>9470.0542837955836</v>
      </c>
      <c r="M199" s="138">
        <f>L199/$L$201</f>
        <v>8.3404340328298455E-3</v>
      </c>
      <c r="N199" s="86">
        <f>N12+N34+N55+N76+N97+N118+N139+N160+N181</f>
        <v>9277.3693454574441</v>
      </c>
      <c r="O199" s="138">
        <f>N199/$N$201</f>
        <v>7.7581609921714059E-3</v>
      </c>
      <c r="P199" s="140">
        <f t="shared" si="71"/>
        <v>192.68493833813955</v>
      </c>
      <c r="Q199" s="139">
        <f>(L199/N199)-1</f>
        <v>2.0769350789346941E-2</v>
      </c>
    </row>
    <row r="200" spans="2:17" x14ac:dyDescent="0.2">
      <c r="C200" s="86"/>
      <c r="D200" s="138"/>
      <c r="E200" s="86"/>
      <c r="F200" s="138"/>
      <c r="G200" s="140"/>
      <c r="H200" s="139"/>
      <c r="I200" s="152"/>
      <c r="L200" s="86"/>
      <c r="M200" s="138"/>
      <c r="N200" s="86"/>
      <c r="O200" s="138"/>
      <c r="P200" s="140"/>
      <c r="Q200" s="139"/>
    </row>
    <row r="201" spans="2:17" x14ac:dyDescent="0.2">
      <c r="B201" s="71" t="s">
        <v>210</v>
      </c>
      <c r="C201" s="87">
        <f>SUM(C195:C199)</f>
        <v>367499.26424653654</v>
      </c>
      <c r="D201" s="138">
        <f>C201/$C$201</f>
        <v>1</v>
      </c>
      <c r="E201" s="87">
        <f>SUM(E195:E199)</f>
        <v>388348.97506489325</v>
      </c>
      <c r="F201" s="138">
        <f>E201/$E$201</f>
        <v>1</v>
      </c>
      <c r="G201" s="141">
        <f>C201-E201</f>
        <v>-20849.710818356718</v>
      </c>
      <c r="H201" s="142">
        <f>(C201/E201)-1</f>
        <v>-5.3688079941173306E-2</v>
      </c>
      <c r="I201" s="152"/>
      <c r="K201" s="71" t="s">
        <v>210</v>
      </c>
      <c r="L201" s="87">
        <f>SUM(L195:L199)</f>
        <v>1135439.0246981508</v>
      </c>
      <c r="M201" s="138">
        <f>L201/$L$201</f>
        <v>1</v>
      </c>
      <c r="N201" s="87">
        <f>SUM(N195:N199)</f>
        <v>1195820.6790009951</v>
      </c>
      <c r="O201" s="138">
        <f>N201/$N$201</f>
        <v>1</v>
      </c>
      <c r="P201" s="141">
        <f>L201-N201</f>
        <v>-60381.654302844312</v>
      </c>
      <c r="Q201" s="142">
        <f>(L201/N201)-1</f>
        <v>-5.049390377935925E-2</v>
      </c>
    </row>
    <row r="202" spans="2:17" x14ac:dyDescent="0.2">
      <c r="C202" s="209">
        <f>C201-'Group Profit &amp; Loss Stm'!O8</f>
        <v>-6.4788700547069311E-4</v>
      </c>
      <c r="D202" s="145"/>
      <c r="E202" s="209">
        <f>E201-'Group Profit &amp; Loss Stm'!J8</f>
        <v>-1.2729479931294918E-4</v>
      </c>
      <c r="F202" s="143"/>
      <c r="G202" s="172"/>
      <c r="H202" s="139"/>
      <c r="I202" s="152"/>
      <c r="L202" s="86">
        <f>L201-'Group Profit &amp; Loss Stm'!N8-'Group Profit &amp; Loss Stm'!M8-'Group Profit &amp; Loss Stm'!O8</f>
        <v>8.3943609206471592E-2</v>
      </c>
      <c r="M202" s="143"/>
      <c r="N202" s="86">
        <f>N201-'Group Profit &amp; Loss Stm'!H8-'Group Profit &amp; Loss Stm'!I8-'Group Profit &amp; Loss Stm'!J8</f>
        <v>-2.0779966143891215E-4</v>
      </c>
      <c r="O202" s="143"/>
      <c r="P202" s="172"/>
      <c r="Q202" s="139"/>
    </row>
    <row r="203" spans="2:17" x14ac:dyDescent="0.2">
      <c r="B203" s="71" t="s">
        <v>31</v>
      </c>
      <c r="C203" s="87">
        <f>C16+C38+C59+C80+C101+C122+C143+C164+C185</f>
        <v>91122.502399621488</v>
      </c>
      <c r="D203" s="144"/>
      <c r="E203" s="87">
        <f>E16+E38+E59+E80+E101+E122+E143+E164+E185</f>
        <v>87356.938222103287</v>
      </c>
      <c r="F203" s="144"/>
      <c r="G203" s="141">
        <f>C203-E203</f>
        <v>3765.5641775182012</v>
      </c>
      <c r="H203" s="142">
        <f>(C203/E203)-1</f>
        <v>4.3105496302358048E-2</v>
      </c>
      <c r="I203" s="152"/>
      <c r="K203" s="71" t="s">
        <v>31</v>
      </c>
      <c r="L203" s="87">
        <f>L16+L38+L59+L80+L101+L122+L143+L164+L185</f>
        <v>282688.65671532048</v>
      </c>
      <c r="M203" s="144"/>
      <c r="N203" s="87">
        <f>N16+N38+N59+N80+N101+N122+N143+N164+N185</f>
        <v>284144.77265645278</v>
      </c>
      <c r="O203" s="144"/>
      <c r="P203" s="141">
        <f>L203-N203</f>
        <v>-1456.1159411323024</v>
      </c>
      <c r="Q203" s="142">
        <f>(L203/N203)-1</f>
        <v>-5.1245564981511338E-3</v>
      </c>
    </row>
    <row r="204" spans="2:17" x14ac:dyDescent="0.2">
      <c r="C204" s="89">
        <f>C203-'Group Profit &amp; Loss Stm'!O10</f>
        <v>-7.5781466148328036E-4</v>
      </c>
      <c r="E204" s="89">
        <f>E203-'Group Profit &amp; Loss Stm'!J10</f>
        <v>-3.0889111803844571E-4</v>
      </c>
      <c r="I204" s="152"/>
      <c r="L204" s="89">
        <f>L203-'Group Profit &amp; Loss Stm'!N10-'Group Profit &amp; Loss Stm'!M10-'Group Profit &amp; Loss Stm'!O10</f>
        <v>-2.5383960688486695E-2</v>
      </c>
      <c r="N204" s="89">
        <f>N203-'Group Profit &amp; Loss Stm'!I10-'Group Profit &amp; Loss Stm'!H10-'Group Profit &amp; Loss Stm'!J10</f>
        <v>-3.0499143758788705E-4</v>
      </c>
    </row>
    <row r="205" spans="2:17" x14ac:dyDescent="0.2">
      <c r="B205" s="28"/>
      <c r="C205" s="147">
        <f>C14+C36+C57+C78+C99+C120+C141+C162+C183</f>
        <v>367499.26424653654</v>
      </c>
      <c r="D205" s="147"/>
      <c r="E205" s="147">
        <f>E14+E36+E57+E78+E99+E120+E141+E162+E183</f>
        <v>388348.97506489319</v>
      </c>
      <c r="I205" s="152"/>
    </row>
    <row r="206" spans="2:17" x14ac:dyDescent="0.2">
      <c r="C206" s="89">
        <f>C205-C201</f>
        <v>0</v>
      </c>
      <c r="E206" s="89">
        <f>E205-E201</f>
        <v>0</v>
      </c>
      <c r="I206" s="152"/>
      <c r="L206" s="148"/>
      <c r="N206" s="88"/>
    </row>
    <row r="207" spans="2:17" x14ac:dyDescent="0.2">
      <c r="I207" s="152"/>
    </row>
    <row r="208" spans="2:17" x14ac:dyDescent="0.2">
      <c r="B208" s="20" t="s">
        <v>216</v>
      </c>
      <c r="I208" s="152"/>
      <c r="K208" s="20" t="s">
        <v>216</v>
      </c>
    </row>
    <row r="209" spans="2:17" x14ac:dyDescent="0.2">
      <c r="B209" s="20" t="s">
        <v>206</v>
      </c>
      <c r="C209" s="89">
        <f>C20+C41+C62+C83+C104+C125+C146+C167</f>
        <v>24542273</v>
      </c>
      <c r="D209" s="89"/>
      <c r="E209" s="89">
        <f>E20+E41+E62+E83+E104+E125+E146+E167</f>
        <v>24481680</v>
      </c>
      <c r="G209" s="89"/>
      <c r="H209" s="89"/>
      <c r="I209" s="153"/>
      <c r="K209" s="20" t="s">
        <v>206</v>
      </c>
      <c r="L209" s="83">
        <f>L20+L41+L62+L83+L104+L125+L146+L167</f>
        <v>73394555</v>
      </c>
      <c r="M209" s="83"/>
      <c r="N209" s="83">
        <f>N20+N41+N62+N83+N104+N125+N146+N167</f>
        <v>73591184</v>
      </c>
      <c r="P209" s="83"/>
      <c r="Q209" s="89"/>
    </row>
    <row r="210" spans="2:17" x14ac:dyDescent="0.2">
      <c r="B210" s="20" t="s">
        <v>217</v>
      </c>
      <c r="C210" s="89">
        <f>C21+C42+C63+C84+C105+C126+C147+C168</f>
        <v>4852560</v>
      </c>
      <c r="D210" s="89"/>
      <c r="E210" s="89">
        <f>E21+E42+E63+E84+E105+E126+E147+E168</f>
        <v>5123776</v>
      </c>
      <c r="G210" s="89"/>
      <c r="H210" s="89"/>
      <c r="I210" s="153"/>
      <c r="K210" s="20" t="s">
        <v>217</v>
      </c>
      <c r="L210" s="83">
        <f>L21+L42+L63+L84+L105+L126+L147+L168</f>
        <v>15737444</v>
      </c>
      <c r="M210" s="83"/>
      <c r="N210" s="83">
        <f>N21+N42+N63+N84+N105+N126+N147+N168</f>
        <v>16393679</v>
      </c>
      <c r="P210" s="83"/>
      <c r="Q210" s="89"/>
    </row>
    <row r="211" spans="2:17" x14ac:dyDescent="0.2">
      <c r="C211" s="89"/>
      <c r="D211" s="89"/>
      <c r="E211" s="89"/>
      <c r="G211" s="174"/>
      <c r="H211" s="89"/>
      <c r="I211" s="153"/>
      <c r="L211" s="89"/>
      <c r="M211" s="89"/>
      <c r="N211" s="89"/>
      <c r="P211" s="174"/>
      <c r="Q211" s="89"/>
    </row>
    <row r="212" spans="2:17" s="58" customFormat="1" x14ac:dyDescent="0.2">
      <c r="C212" s="149">
        <f>C209-'Aramex Courier'!O19</f>
        <v>0</v>
      </c>
      <c r="E212" s="149">
        <f>E209-'Aramex Courier'!J19</f>
        <v>0</v>
      </c>
      <c r="F212" s="20"/>
      <c r="G212" s="175"/>
      <c r="I212" s="156"/>
      <c r="L212" s="149">
        <f>L209-'Aramex Courier'!M19-'Aramex Courier'!N19-'Aramex Courier'!O19</f>
        <v>0</v>
      </c>
      <c r="N212" s="149">
        <f>N209-'Aramex Courier'!H19-'Aramex Courier'!I19-'Aramex Courier'!J19</f>
        <v>0</v>
      </c>
      <c r="P212" s="175"/>
    </row>
    <row r="213" spans="2:17" s="58" customFormat="1" x14ac:dyDescent="0.2">
      <c r="C213" s="149">
        <f>C210-'Aramex Courier'!O20</f>
        <v>0</v>
      </c>
      <c r="E213" s="149">
        <f>E210-'Aramex Courier'!J20</f>
        <v>0</v>
      </c>
      <c r="G213" s="175"/>
      <c r="L213" s="149">
        <f>L210-'Aramex Courier'!M20-'Aramex Courier'!N20-'Aramex Courier'!O20</f>
        <v>0</v>
      </c>
      <c r="N213" s="149">
        <f>N210-'Aramex Courier'!H20-'Aramex Courier'!I20-'Aramex Courier'!J20</f>
        <v>0</v>
      </c>
      <c r="P213" s="175"/>
    </row>
    <row r="214" spans="2:17" s="58" customFormat="1" x14ac:dyDescent="0.2">
      <c r="C214" s="149"/>
      <c r="E214" s="149"/>
      <c r="G214" s="175"/>
      <c r="L214" s="149"/>
      <c r="N214" s="149"/>
      <c r="P214" s="175"/>
    </row>
    <row r="215" spans="2:17" s="58" customFormat="1" x14ac:dyDescent="0.2">
      <c r="G215" s="175"/>
      <c r="P215" s="175"/>
    </row>
    <row r="216" spans="2:17" s="58" customFormat="1" x14ac:dyDescent="0.2">
      <c r="G216" s="175"/>
      <c r="P216" s="175"/>
    </row>
    <row r="217" spans="2:17" s="58" customFormat="1" x14ac:dyDescent="0.2">
      <c r="G217" s="175"/>
      <c r="P217" s="175"/>
    </row>
    <row r="218" spans="2:17" s="58" customFormat="1" x14ac:dyDescent="0.2">
      <c r="G218" s="175"/>
      <c r="P218" s="175"/>
    </row>
    <row r="219" spans="2:17" s="58" customFormat="1" x14ac:dyDescent="0.2">
      <c r="G219" s="175"/>
      <c r="P219" s="175"/>
    </row>
    <row r="220" spans="2:17" s="58" customFormat="1" x14ac:dyDescent="0.2">
      <c r="G220" s="175"/>
      <c r="P220" s="175"/>
    </row>
    <row r="221" spans="2:17" s="58" customFormat="1" x14ac:dyDescent="0.2">
      <c r="C221" s="150"/>
      <c r="G221" s="175"/>
      <c r="L221" s="150"/>
      <c r="P221" s="175"/>
    </row>
    <row r="222" spans="2:17" s="58" customFormat="1" x14ac:dyDescent="0.2">
      <c r="C222" s="150"/>
      <c r="D222" s="175"/>
      <c r="E222" s="175"/>
      <c r="F222" s="175"/>
      <c r="G222" s="175"/>
      <c r="H222" s="175"/>
      <c r="I222" s="175"/>
      <c r="J222" s="175"/>
      <c r="K222" s="175"/>
      <c r="L222" s="150"/>
      <c r="O222" s="149"/>
      <c r="P222" s="175"/>
    </row>
    <row r="223" spans="2:17" x14ac:dyDescent="0.2">
      <c r="B223" s="151" t="s">
        <v>277</v>
      </c>
      <c r="C223" s="217"/>
      <c r="K223" s="151" t="s">
        <v>277</v>
      </c>
      <c r="L223" s="217"/>
      <c r="M223" s="58"/>
    </row>
    <row r="224" spans="2:17" x14ac:dyDescent="0.2">
      <c r="B224" s="218" t="s">
        <v>314</v>
      </c>
      <c r="C224" s="219">
        <f>E209</f>
        <v>24481680</v>
      </c>
      <c r="D224" s="212">
        <f>C224/1000000</f>
        <v>24.481680000000001</v>
      </c>
      <c r="K224" s="218" t="s">
        <v>316</v>
      </c>
      <c r="L224" s="219">
        <f>N209</f>
        <v>73591184</v>
      </c>
      <c r="M224" s="212">
        <f>L224/1000000</f>
        <v>73.591183999999998</v>
      </c>
    </row>
    <row r="225" spans="2:13" x14ac:dyDescent="0.2">
      <c r="B225" s="135" t="s">
        <v>191</v>
      </c>
      <c r="C225" s="57">
        <f>G20</f>
        <v>330918</v>
      </c>
      <c r="D225" s="212">
        <f t="shared" ref="D225:D233" si="72">C225/1000000</f>
        <v>0.33091799999999999</v>
      </c>
      <c r="K225" s="135" t="s">
        <v>191</v>
      </c>
      <c r="L225" s="57">
        <f>P20</f>
        <v>807700</v>
      </c>
      <c r="M225" s="212">
        <f t="shared" ref="M225:M233" si="73">L225/1000000</f>
        <v>0.80769999999999997</v>
      </c>
    </row>
    <row r="226" spans="2:13" x14ac:dyDescent="0.2">
      <c r="B226" s="135" t="s">
        <v>212</v>
      </c>
      <c r="C226" s="57">
        <f>G41</f>
        <v>167929</v>
      </c>
      <c r="D226" s="212">
        <f t="shared" si="72"/>
        <v>0.16792899999999999</v>
      </c>
      <c r="K226" s="135" t="s">
        <v>212</v>
      </c>
      <c r="L226" s="57">
        <f>P41</f>
        <v>478928</v>
      </c>
      <c r="M226" s="212">
        <f t="shared" si="73"/>
        <v>0.47892800000000002</v>
      </c>
    </row>
    <row r="227" spans="2:13" x14ac:dyDescent="0.2">
      <c r="B227" s="135" t="s">
        <v>192</v>
      </c>
      <c r="C227" s="57">
        <f>G62</f>
        <v>-166345</v>
      </c>
      <c r="D227" s="212">
        <f t="shared" si="72"/>
        <v>-0.16634499999999999</v>
      </c>
      <c r="K227" s="135" t="s">
        <v>192</v>
      </c>
      <c r="L227" s="57">
        <f>P62</f>
        <v>-493229</v>
      </c>
      <c r="M227" s="212">
        <f t="shared" si="73"/>
        <v>-0.49322899999999997</v>
      </c>
    </row>
    <row r="228" spans="2:13" x14ac:dyDescent="0.2">
      <c r="B228" s="135" t="s">
        <v>193</v>
      </c>
      <c r="C228" s="57">
        <f>G83</f>
        <v>-699</v>
      </c>
      <c r="D228" s="212">
        <f t="shared" si="72"/>
        <v>-6.9899999999999997E-4</v>
      </c>
      <c r="K228" s="135" t="s">
        <v>193</v>
      </c>
      <c r="L228" s="57">
        <f>P83</f>
        <v>1367</v>
      </c>
      <c r="M228" s="212">
        <f t="shared" si="73"/>
        <v>1.3669999999999999E-3</v>
      </c>
    </row>
    <row r="229" spans="2:13" x14ac:dyDescent="0.2">
      <c r="B229" s="135" t="s">
        <v>194</v>
      </c>
      <c r="C229" s="57">
        <f>G104</f>
        <v>0</v>
      </c>
      <c r="D229" s="212">
        <f t="shared" si="72"/>
        <v>0</v>
      </c>
      <c r="K229" s="135" t="s">
        <v>194</v>
      </c>
      <c r="L229" s="57">
        <f>P104</f>
        <v>0</v>
      </c>
      <c r="M229" s="212">
        <f t="shared" si="73"/>
        <v>0</v>
      </c>
    </row>
    <row r="230" spans="2:13" x14ac:dyDescent="0.2">
      <c r="B230" s="135" t="s">
        <v>213</v>
      </c>
      <c r="C230" s="57">
        <f>G125</f>
        <v>-52</v>
      </c>
      <c r="D230" s="212">
        <f t="shared" si="72"/>
        <v>-5.1999999999999997E-5</v>
      </c>
      <c r="K230" s="135" t="s">
        <v>213</v>
      </c>
      <c r="L230" s="57">
        <f>P125</f>
        <v>-527</v>
      </c>
      <c r="M230" s="212">
        <f t="shared" si="73"/>
        <v>-5.2700000000000002E-4</v>
      </c>
    </row>
    <row r="231" spans="2:13" x14ac:dyDescent="0.2">
      <c r="B231" s="135" t="s">
        <v>214</v>
      </c>
      <c r="C231" s="57">
        <f>G146</f>
        <v>-28980</v>
      </c>
      <c r="D231" s="212">
        <f t="shared" si="72"/>
        <v>-2.8979999999999999E-2</v>
      </c>
      <c r="K231" s="135" t="s">
        <v>214</v>
      </c>
      <c r="L231" s="57">
        <f>P146</f>
        <v>-113114</v>
      </c>
      <c r="M231" s="212">
        <f t="shared" si="73"/>
        <v>-0.11311400000000001</v>
      </c>
    </row>
    <row r="232" spans="2:13" x14ac:dyDescent="0.2">
      <c r="B232" s="135" t="s">
        <v>195</v>
      </c>
      <c r="C232" s="57">
        <f>G167</f>
        <v>-242178</v>
      </c>
      <c r="D232" s="212">
        <f t="shared" si="72"/>
        <v>-0.242178</v>
      </c>
      <c r="K232" s="135" t="s">
        <v>195</v>
      </c>
      <c r="L232" s="57">
        <f>P167</f>
        <v>-877754</v>
      </c>
      <c r="M232" s="212">
        <f t="shared" si="73"/>
        <v>-0.87775400000000003</v>
      </c>
    </row>
    <row r="233" spans="2:13" ht="13.5" thickBot="1" x14ac:dyDescent="0.25">
      <c r="B233" s="220" t="s">
        <v>315</v>
      </c>
      <c r="C233" s="221">
        <f>SUM(C224:C232)</f>
        <v>24542273</v>
      </c>
      <c r="D233" s="212">
        <f t="shared" si="72"/>
        <v>24.542273000000002</v>
      </c>
      <c r="K233" s="220" t="s">
        <v>317</v>
      </c>
      <c r="L233" s="221">
        <f>SUM(L224:L232)</f>
        <v>73394555</v>
      </c>
      <c r="M233" s="212">
        <f t="shared" si="73"/>
        <v>73.394554999999997</v>
      </c>
    </row>
    <row r="234" spans="2:13" ht="13.5" thickTop="1" x14ac:dyDescent="0.2">
      <c r="B234" s="71"/>
      <c r="C234" s="147">
        <f>C233-C209</f>
        <v>0</v>
      </c>
      <c r="L234" s="147">
        <f>L233-L209</f>
        <v>0</v>
      </c>
    </row>
    <row r="237" spans="2:13" x14ac:dyDescent="0.2">
      <c r="B237" s="151" t="s">
        <v>278</v>
      </c>
      <c r="C237" s="217"/>
      <c r="K237" s="151" t="s">
        <v>278</v>
      </c>
      <c r="L237" s="217"/>
    </row>
    <row r="238" spans="2:13" x14ac:dyDescent="0.2">
      <c r="B238" s="218" t="s">
        <v>314</v>
      </c>
      <c r="C238" s="219">
        <f>E210</f>
        <v>5123776</v>
      </c>
      <c r="D238" s="212">
        <f>C238/1000000</f>
        <v>5.1237760000000003</v>
      </c>
      <c r="K238" s="218" t="s">
        <v>316</v>
      </c>
      <c r="L238" s="219">
        <f>N210</f>
        <v>16393679</v>
      </c>
      <c r="M238" s="212">
        <f>L238/1000000</f>
        <v>16.393678999999999</v>
      </c>
    </row>
    <row r="239" spans="2:13" x14ac:dyDescent="0.2">
      <c r="B239" s="135" t="s">
        <v>191</v>
      </c>
      <c r="C239" s="57">
        <f>G21</f>
        <v>49710</v>
      </c>
      <c r="D239" s="212">
        <f t="shared" ref="D239:D247" si="74">C239/1000000</f>
        <v>4.9709999999999997E-2</v>
      </c>
      <c r="K239" s="135" t="s">
        <v>191</v>
      </c>
      <c r="L239" s="57">
        <f>P21</f>
        <v>-78767</v>
      </c>
      <c r="M239" s="212">
        <f t="shared" ref="M239:M247" si="75">L239/1000000</f>
        <v>-7.8767000000000004E-2</v>
      </c>
    </row>
    <row r="240" spans="2:13" x14ac:dyDescent="0.2">
      <c r="B240" s="135" t="s">
        <v>212</v>
      </c>
      <c r="C240" s="57">
        <f>G42</f>
        <v>-238503</v>
      </c>
      <c r="D240" s="212">
        <f t="shared" si="74"/>
        <v>-0.23850299999999999</v>
      </c>
      <c r="K240" s="135" t="s">
        <v>212</v>
      </c>
      <c r="L240" s="57">
        <f>P42</f>
        <v>-631080</v>
      </c>
      <c r="M240" s="212">
        <f t="shared" si="75"/>
        <v>-0.63107999999999997</v>
      </c>
    </row>
    <row r="241" spans="2:13" x14ac:dyDescent="0.2">
      <c r="B241" s="135" t="s">
        <v>192</v>
      </c>
      <c r="C241" s="57">
        <f>G63</f>
        <v>-7601</v>
      </c>
      <c r="D241" s="212">
        <f t="shared" si="74"/>
        <v>-7.6010000000000001E-3</v>
      </c>
      <c r="K241" s="135" t="s">
        <v>192</v>
      </c>
      <c r="L241" s="57">
        <f>P63</f>
        <v>-23993</v>
      </c>
      <c r="M241" s="212">
        <f t="shared" si="75"/>
        <v>-2.3993E-2</v>
      </c>
    </row>
    <row r="242" spans="2:13" x14ac:dyDescent="0.2">
      <c r="B242" s="135" t="s">
        <v>193</v>
      </c>
      <c r="C242" s="57">
        <f>G84</f>
        <v>-320474</v>
      </c>
      <c r="D242" s="212">
        <f t="shared" si="74"/>
        <v>-0.32047399999999998</v>
      </c>
      <c r="K242" s="135" t="s">
        <v>193</v>
      </c>
      <c r="L242" s="57">
        <f>P84</f>
        <v>125863</v>
      </c>
      <c r="M242" s="212">
        <f t="shared" si="75"/>
        <v>0.125863</v>
      </c>
    </row>
    <row r="243" spans="2:13" x14ac:dyDescent="0.2">
      <c r="B243" s="135" t="s">
        <v>194</v>
      </c>
      <c r="C243" s="57">
        <f>G105</f>
        <v>256562</v>
      </c>
      <c r="D243" s="212">
        <f t="shared" si="74"/>
        <v>0.25656200000000001</v>
      </c>
      <c r="K243" s="135" t="s">
        <v>194</v>
      </c>
      <c r="L243" s="57">
        <f>P105</f>
        <v>319596</v>
      </c>
      <c r="M243" s="212">
        <f t="shared" si="75"/>
        <v>0.31959599999999999</v>
      </c>
    </row>
    <row r="244" spans="2:13" x14ac:dyDescent="0.2">
      <c r="B244" s="135" t="s">
        <v>213</v>
      </c>
      <c r="C244" s="57">
        <f>G126</f>
        <v>-74967</v>
      </c>
      <c r="D244" s="212">
        <f t="shared" si="74"/>
        <v>-7.4967000000000006E-2</v>
      </c>
      <c r="K244" s="135" t="s">
        <v>213</v>
      </c>
      <c r="L244" s="57">
        <f>P126</f>
        <v>-506627</v>
      </c>
      <c r="M244" s="212">
        <f t="shared" si="75"/>
        <v>-0.50662700000000005</v>
      </c>
    </row>
    <row r="245" spans="2:13" x14ac:dyDescent="0.2">
      <c r="B245" s="135" t="s">
        <v>214</v>
      </c>
      <c r="C245" s="57">
        <f>G147</f>
        <v>64929</v>
      </c>
      <c r="D245" s="212">
        <f t="shared" si="74"/>
        <v>6.4929000000000001E-2</v>
      </c>
      <c r="K245" s="135" t="s">
        <v>214</v>
      </c>
      <c r="L245" s="57">
        <f>P147</f>
        <v>136559</v>
      </c>
      <c r="M245" s="212">
        <f t="shared" si="75"/>
        <v>0.13655900000000001</v>
      </c>
    </row>
    <row r="246" spans="2:13" x14ac:dyDescent="0.2">
      <c r="B246" s="135" t="s">
        <v>195</v>
      </c>
      <c r="C246" s="57">
        <f>G168</f>
        <v>-872</v>
      </c>
      <c r="D246" s="212">
        <f t="shared" si="74"/>
        <v>-8.7200000000000005E-4</v>
      </c>
      <c r="K246" s="135" t="s">
        <v>195</v>
      </c>
      <c r="L246" s="57">
        <f>P168</f>
        <v>2214</v>
      </c>
      <c r="M246" s="212">
        <f t="shared" si="75"/>
        <v>2.2139999999999998E-3</v>
      </c>
    </row>
    <row r="247" spans="2:13" ht="13.5" thickBot="1" x14ac:dyDescent="0.25">
      <c r="B247" s="220" t="s">
        <v>315</v>
      </c>
      <c r="C247" s="221">
        <f>SUM(C238:C246)</f>
        <v>4852560</v>
      </c>
      <c r="D247" s="212">
        <f t="shared" si="74"/>
        <v>4.8525600000000004</v>
      </c>
      <c r="K247" s="220" t="s">
        <v>317</v>
      </c>
      <c r="L247" s="221">
        <f>SUM(L238:L246)</f>
        <v>15737444</v>
      </c>
      <c r="M247" s="212">
        <f t="shared" si="75"/>
        <v>15.737444</v>
      </c>
    </row>
    <row r="248" spans="2:13" ht="13.5" thickTop="1" x14ac:dyDescent="0.2">
      <c r="C248" s="147">
        <f>C247-C210</f>
        <v>0</v>
      </c>
      <c r="L248" s="147">
        <f>L247-L210</f>
        <v>0</v>
      </c>
    </row>
    <row r="254" spans="2:13" x14ac:dyDescent="0.2">
      <c r="B254" s="151" t="s">
        <v>304</v>
      </c>
      <c r="C254" s="151"/>
    </row>
    <row r="255" spans="2:13" x14ac:dyDescent="0.2">
      <c r="B255" s="218" t="s">
        <v>314</v>
      </c>
      <c r="C255" s="219">
        <f>E201/1000</f>
        <v>388.34897506489324</v>
      </c>
    </row>
    <row r="256" spans="2:13" x14ac:dyDescent="0.2">
      <c r="B256" s="135" t="s">
        <v>191</v>
      </c>
      <c r="C256" s="57">
        <f>G14/1000</f>
        <v>-7.2597439410721707</v>
      </c>
    </row>
    <row r="257" spans="2:3" x14ac:dyDescent="0.2">
      <c r="B257" s="135" t="s">
        <v>212</v>
      </c>
      <c r="C257" s="57">
        <f>G36/1000</f>
        <v>-12.611029239054362</v>
      </c>
    </row>
    <row r="258" spans="2:3" x14ac:dyDescent="0.2">
      <c r="B258" s="135" t="s">
        <v>192</v>
      </c>
      <c r="C258" s="57">
        <f>G57/1000</f>
        <v>-4.2001772856228525</v>
      </c>
    </row>
    <row r="259" spans="2:3" x14ac:dyDescent="0.2">
      <c r="B259" s="135" t="s">
        <v>193</v>
      </c>
      <c r="C259" s="57">
        <f>G78/1000</f>
        <v>-2.8717224635580569</v>
      </c>
    </row>
    <row r="260" spans="2:3" x14ac:dyDescent="0.2">
      <c r="B260" s="135" t="s">
        <v>194</v>
      </c>
      <c r="C260" s="57">
        <f>G99/1000</f>
        <v>18.169175697957261</v>
      </c>
    </row>
    <row r="261" spans="2:3" x14ac:dyDescent="0.2">
      <c r="B261" s="135" t="s">
        <v>213</v>
      </c>
      <c r="C261" s="57">
        <f>G120/1000</f>
        <v>-5.210916156410252</v>
      </c>
    </row>
    <row r="262" spans="2:3" x14ac:dyDescent="0.2">
      <c r="B262" s="135" t="s">
        <v>214</v>
      </c>
      <c r="C262" s="57">
        <f>G141/1000</f>
        <v>-6.1847535249829235</v>
      </c>
    </row>
    <row r="263" spans="2:3" x14ac:dyDescent="0.2">
      <c r="B263" s="135" t="s">
        <v>195</v>
      </c>
      <c r="C263" s="57">
        <f>G162/1000</f>
        <v>-0.70733873600724473</v>
      </c>
    </row>
    <row r="264" spans="2:3" x14ac:dyDescent="0.2">
      <c r="B264" s="135" t="s">
        <v>305</v>
      </c>
      <c r="C264" s="57">
        <f>G183/1000</f>
        <v>2.6794830393923576E-2</v>
      </c>
    </row>
    <row r="265" spans="2:3" ht="13.5" thickBot="1" x14ac:dyDescent="0.25">
      <c r="B265" s="220" t="s">
        <v>315</v>
      </c>
      <c r="C265" s="221">
        <f>SUM(C255:C264)</f>
        <v>367.4992642465366</v>
      </c>
    </row>
    <row r="266" spans="2:3" ht="13.5" thickTop="1" x14ac:dyDescent="0.2">
      <c r="C266" s="20">
        <f>C265-C201/1000</f>
        <v>0</v>
      </c>
    </row>
  </sheetData>
  <pageMargins left="0.7" right="0.7" top="0.75" bottom="0.75" header="0.3" footer="0.3"/>
  <pageSetup paperSize="9" orientation="portrait" r:id="rId1"/>
  <ignoredErrors>
    <ignoredError sqref="M14 M36 M57 M78 M95:M99 M94 M118:M120 M141 M159:M164 M178:M183 D14 D36 D57 D78 D118:D120 M195:M201 D195:D201 D141 D159:D162 D178 D183" formula="1"/>
    <ignoredError sqref="F21 F42:K42 H21:K21" formulaRange="1"/>
    <ignoredError sqref="Q94:Q96 O104:Q104 Q118 D101 F104:H104 H118 F94:H94 F96:H99 F95:H95 H158:H159 Q158:Q159 F100:H101 H178:H180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6245-B883-4CA8-9EF0-15ADEE571A91}">
  <dimension ref="A1:R133"/>
  <sheetViews>
    <sheetView showGridLines="0" workbookViewId="0">
      <pane xSplit="2" ySplit="6" topLeftCell="C7" activePane="bottomRight" state="frozen"/>
      <selection pane="topRight" activeCell="P28" sqref="P28"/>
      <selection pane="bottomLeft" activeCell="P28" sqref="P28"/>
      <selection pane="bottomRight" activeCell="F127" sqref="F127"/>
    </sheetView>
  </sheetViews>
  <sheetFormatPr defaultColWidth="9.140625" defaultRowHeight="12.75" x14ac:dyDescent="0.2"/>
  <cols>
    <col min="1" max="1" width="3.42578125" style="20" customWidth="1"/>
    <col min="2" max="2" width="13.7109375" style="20" customWidth="1"/>
    <col min="3" max="9" width="15.140625" style="20" customWidth="1"/>
    <col min="10" max="10" width="9.140625" style="20"/>
    <col min="11" max="11" width="13.85546875" style="20" customWidth="1"/>
    <col min="12" max="16" width="13.5703125" style="20" customWidth="1"/>
    <col min="17" max="17" width="9.140625" style="20"/>
    <col min="18" max="18" width="9.42578125" style="20" bestFit="1" customWidth="1"/>
    <col min="19" max="16384" width="9.140625" style="20"/>
  </cols>
  <sheetData>
    <row r="1" spans="1:16" x14ac:dyDescent="0.2">
      <c r="A1" s="163">
        <f>'2023 IR Data Book'!$A$5</f>
        <v>0.27228666339922669</v>
      </c>
    </row>
    <row r="2" spans="1:16" ht="15" x14ac:dyDescent="0.25">
      <c r="C2" s="118" t="s">
        <v>303</v>
      </c>
      <c r="D2" s="118"/>
      <c r="E2" s="118"/>
    </row>
    <row r="3" spans="1:16" ht="15" x14ac:dyDescent="0.25">
      <c r="C3" s="118"/>
      <c r="D3" s="118"/>
      <c r="E3" s="118"/>
    </row>
    <row r="4" spans="1:16" x14ac:dyDescent="0.2">
      <c r="B4" s="119"/>
    </row>
    <row r="5" spans="1:16" x14ac:dyDescent="0.2">
      <c r="B5" s="120"/>
      <c r="C5" s="264" t="s">
        <v>20</v>
      </c>
      <c r="D5" s="264"/>
      <c r="E5" s="264"/>
      <c r="F5" s="264"/>
      <c r="G5" s="264"/>
      <c r="H5" s="264"/>
      <c r="I5" s="264"/>
      <c r="K5" s="120"/>
      <c r="L5" s="264" t="s">
        <v>218</v>
      </c>
      <c r="M5" s="264"/>
      <c r="N5" s="264"/>
      <c r="O5" s="264"/>
      <c r="P5" s="264"/>
    </row>
    <row r="6" spans="1:16" x14ac:dyDescent="0.2">
      <c r="B6" s="120"/>
      <c r="C6" s="132" t="s">
        <v>219</v>
      </c>
      <c r="D6" s="132" t="s">
        <v>269</v>
      </c>
      <c r="E6" s="132" t="s">
        <v>206</v>
      </c>
      <c r="F6" s="132" t="s">
        <v>220</v>
      </c>
      <c r="G6" s="132" t="s">
        <v>221</v>
      </c>
      <c r="H6" s="132" t="s">
        <v>222</v>
      </c>
      <c r="I6" s="132" t="s">
        <v>215</v>
      </c>
      <c r="K6" s="120"/>
      <c r="L6" s="132" t="s">
        <v>219</v>
      </c>
      <c r="M6" s="132" t="s">
        <v>220</v>
      </c>
      <c r="N6" s="132" t="s">
        <v>221</v>
      </c>
      <c r="O6" s="132" t="s">
        <v>222</v>
      </c>
      <c r="P6" s="132" t="s">
        <v>215</v>
      </c>
    </row>
    <row r="7" spans="1:16" x14ac:dyDescent="0.2">
      <c r="B7" s="59" t="s">
        <v>223</v>
      </c>
      <c r="C7" s="121">
        <f>'Aramex Courier'!C7</f>
        <v>272869.99621117738</v>
      </c>
      <c r="D7" s="121">
        <f>'Aramex Express+SNS'!C7</f>
        <v>176039.99451586505</v>
      </c>
      <c r="E7" s="121">
        <f>'Aramex Domestic'!C7</f>
        <v>96830.001696152583</v>
      </c>
      <c r="F7" s="121">
        <f>'Aramex Freight'!C7</f>
        <v>78494.956145721284</v>
      </c>
      <c r="G7" s="121">
        <f>'Aramex Logistics'!C7</f>
        <v>28477.302607920814</v>
      </c>
      <c r="H7" s="121">
        <f>29924.5277420579*('2023 IR Data Book'!$A$5)</f>
        <v>8148.0498126825405</v>
      </c>
      <c r="I7" s="121">
        <f>C7+F7+G7+H7</f>
        <v>387990.30477750208</v>
      </c>
      <c r="J7" s="89">
        <f t="shared" ref="J7:J9" si="0">C7-D7-E7</f>
        <v>-8.4025668911635876E-7</v>
      </c>
      <c r="K7" s="59" t="s">
        <v>223</v>
      </c>
      <c r="L7" s="121">
        <f>768414.063708547*('2023 IR Data Book'!$A$5)</f>
        <v>209228.90151624108</v>
      </c>
      <c r="M7" s="121">
        <f>262436.900433545*('2023 IR Data Book'!$A$5)</f>
        <v>71458.067971885044</v>
      </c>
      <c r="N7" s="121">
        <f>95044.3885739144*('2023 IR Data Book'!$A$5)</f>
        <v>25879.319439610739</v>
      </c>
      <c r="O7" s="121">
        <f>25748.7833390512*('2023 IR Data Book'!$A$5)</f>
        <v>7011.0503019798498</v>
      </c>
      <c r="P7" s="121">
        <f>SUM(L7:O7)</f>
        <v>313577.33922971674</v>
      </c>
    </row>
    <row r="8" spans="1:16" x14ac:dyDescent="0.2">
      <c r="B8" s="60" t="s">
        <v>177</v>
      </c>
      <c r="C8" s="122">
        <f>'Aramex Courier'!C10</f>
        <v>77632.834008042817</v>
      </c>
      <c r="D8" s="122">
        <f>'Aramex Express+SNS'!C10</f>
        <v>55110.830541414529</v>
      </c>
      <c r="E8" s="122">
        <f>'Aramex Domestic'!C10</f>
        <v>22522.003455075421</v>
      </c>
      <c r="F8" s="122">
        <f>'Aramex Freight'!C9</f>
        <v>10029.123907422269</v>
      </c>
      <c r="G8" s="122">
        <f>'Aramex Logistics'!C9</f>
        <v>4909.8155641331177</v>
      </c>
      <c r="H8" s="122">
        <f>18667.8494106557*('2023 IR Data Book'!$A$5)</f>
        <v>5083.0064288666608</v>
      </c>
      <c r="I8" s="122">
        <f>C8+F8+G8+H8</f>
        <v>97654.779908464858</v>
      </c>
      <c r="J8" s="89">
        <f t="shared" si="0"/>
        <v>1.1552867363207042E-5</v>
      </c>
      <c r="K8" s="60" t="s">
        <v>177</v>
      </c>
      <c r="L8" s="122">
        <f>264108*('2023 IR Data Book'!$A$5)</f>
        <v>71913.086097042964</v>
      </c>
      <c r="M8" s="122">
        <f>51693*('2023 IR Data Book'!$A$5)</f>
        <v>14075.314491096226</v>
      </c>
      <c r="N8" s="122">
        <f>17857*('2023 IR Data Book'!$A$5)</f>
        <v>4862.2229483199908</v>
      </c>
      <c r="O8" s="122">
        <f>16690*('2023 IR Data Book'!$A$5)</f>
        <v>4544.4644121330939</v>
      </c>
      <c r="P8" s="122">
        <f>SUM(L8:O8)</f>
        <v>95395.087948592278</v>
      </c>
    </row>
    <row r="9" spans="1:16" x14ac:dyDescent="0.2">
      <c r="B9" s="61" t="s">
        <v>178</v>
      </c>
      <c r="C9" s="158">
        <f>C8/C7</f>
        <v>0.28450483778349095</v>
      </c>
      <c r="D9" s="158">
        <f>D8/D7</f>
        <v>0.3130585790631108</v>
      </c>
      <c r="E9" s="158">
        <f>E8/E7</f>
        <v>0.23259323619293404</v>
      </c>
      <c r="F9" s="158">
        <f t="shared" ref="F9:I9" si="1">F8/F7</f>
        <v>0.12776774967303361</v>
      </c>
      <c r="G9" s="158">
        <f t="shared" si="1"/>
        <v>0.17241153882206098</v>
      </c>
      <c r="H9" s="158">
        <f t="shared" si="1"/>
        <v>0.62383104493972263</v>
      </c>
      <c r="I9" s="159">
        <f t="shared" si="1"/>
        <v>0.25169386633118634</v>
      </c>
      <c r="J9" s="89">
        <f t="shared" si="0"/>
        <v>-0.26114697747255389</v>
      </c>
      <c r="K9" s="61" t="s">
        <v>178</v>
      </c>
      <c r="L9" s="158">
        <f>L8/L7</f>
        <v>0.34370531784042663</v>
      </c>
      <c r="M9" s="158">
        <f t="shared" ref="M9:P9" si="2">M8/M7</f>
        <v>0.19697306253275856</v>
      </c>
      <c r="N9" s="158">
        <f t="shared" si="2"/>
        <v>0.18788063417455639</v>
      </c>
      <c r="O9" s="158">
        <f t="shared" si="2"/>
        <v>0.64818596592436128</v>
      </c>
      <c r="P9" s="159">
        <f t="shared" si="2"/>
        <v>0.3042155028897317</v>
      </c>
    </row>
    <row r="10" spans="1:16" x14ac:dyDescent="0.2">
      <c r="B10" s="60" t="s">
        <v>224</v>
      </c>
      <c r="C10" s="122">
        <f>'Aramex Courier'!C13</f>
        <v>18459.274220976989</v>
      </c>
      <c r="D10" s="122"/>
      <c r="E10" s="122"/>
      <c r="F10" s="122">
        <f>'Aramex Freight'!C12</f>
        <v>1040.930266204912</v>
      </c>
      <c r="G10" s="122">
        <f>'Aramex Logistics'!C12</f>
        <v>1552.6872568352394</v>
      </c>
      <c r="H10" s="122">
        <f>2138.62386501166*('2023 IR Data Book'!$A$5)</f>
        <v>582.3187564699831</v>
      </c>
      <c r="I10" s="122">
        <f>C10+F10+G10+H10</f>
        <v>21635.210500487126</v>
      </c>
      <c r="J10" s="89"/>
      <c r="K10" s="60" t="s">
        <v>224</v>
      </c>
      <c r="L10" s="122">
        <f>67870*('2023 IR Data Book'!$A$5)</f>
        <v>18480.095844905514</v>
      </c>
      <c r="M10" s="122">
        <f>23017*('2023 IR Data Book'!$A$5)</f>
        <v>6267.222131460001</v>
      </c>
      <c r="N10" s="122">
        <f>6653*('2023 IR Data Book'!$A$5)</f>
        <v>1811.5231715950551</v>
      </c>
      <c r="O10" s="122">
        <f>1967*('2023 IR Data Book'!$A$5)</f>
        <v>535.58786690627892</v>
      </c>
      <c r="P10" s="122">
        <f>SUM(L10:O10)</f>
        <v>27094.429014866848</v>
      </c>
    </row>
    <row r="11" spans="1:16" x14ac:dyDescent="0.2">
      <c r="B11" s="61" t="s">
        <v>181</v>
      </c>
      <c r="C11" s="158">
        <f>C10/C7</f>
        <v>6.7648603647471509E-2</v>
      </c>
      <c r="D11" s="158"/>
      <c r="E11" s="158"/>
      <c r="F11" s="158">
        <f t="shared" ref="F11:I11" si="3">F10/F7</f>
        <v>1.3261110233280289E-2</v>
      </c>
      <c r="G11" s="158">
        <f t="shared" si="3"/>
        <v>5.4523677267220086E-2</v>
      </c>
      <c r="H11" s="158">
        <f t="shared" si="3"/>
        <v>7.1467255338031527E-2</v>
      </c>
      <c r="I11" s="159">
        <f t="shared" si="3"/>
        <v>5.5762245174899694E-2</v>
      </c>
      <c r="J11" s="89"/>
      <c r="K11" s="61" t="s">
        <v>181</v>
      </c>
      <c r="L11" s="158">
        <f>L10/L7</f>
        <v>8.8324775931928431E-2</v>
      </c>
      <c r="M11" s="158">
        <f t="shared" ref="M11:P11" si="4">M10/M7</f>
        <v>8.7704891964414999E-2</v>
      </c>
      <c r="N11" s="158">
        <f t="shared" si="4"/>
        <v>6.9998872104122964E-2</v>
      </c>
      <c r="O11" s="158">
        <f t="shared" si="4"/>
        <v>7.6391958955854919E-2</v>
      </c>
      <c r="P11" s="159">
        <f t="shared" si="4"/>
        <v>8.6404295289393779E-2</v>
      </c>
    </row>
    <row r="12" spans="1:16" x14ac:dyDescent="0.2">
      <c r="B12" s="61" t="s">
        <v>182</v>
      </c>
      <c r="C12" s="157">
        <f>'Aramex Courier'!C15</f>
        <v>34572.725176407177</v>
      </c>
      <c r="D12" s="157"/>
      <c r="E12" s="157"/>
      <c r="F12" s="157">
        <f>'Aramex Freight'!C14</f>
        <v>3172.004430026956</v>
      </c>
      <c r="G12" s="157">
        <f>'Aramex Logistics'!C14</f>
        <v>7076.02872459628</v>
      </c>
      <c r="H12" s="157">
        <f>5237.50723887273*('2023 IR Data Book'!$A$5)</f>
        <v>1426.1033706019523</v>
      </c>
      <c r="I12" s="122">
        <f>C12+F12+G12+H12</f>
        <v>46246.86170163237</v>
      </c>
      <c r="J12" s="89"/>
      <c r="K12" s="61" t="s">
        <v>182</v>
      </c>
      <c r="L12" s="157">
        <f>122353.985142297*('2023 IR Data Book'!$A$5)</f>
        <v>33315.358367994602</v>
      </c>
      <c r="M12" s="157">
        <f>30232.6171423544*('2023 IR Data Book'!$A$5)</f>
        <v>8231.9384475179431</v>
      </c>
      <c r="N12" s="157">
        <f>25377.6620862351*('2023 IR Data Book'!$A$5)</f>
        <v>6909.9989343340139</v>
      </c>
      <c r="O12" s="157">
        <f>4921.08205567359*('2023 IR Data Book'!$A$5)</f>
        <v>1339.9450132531692</v>
      </c>
      <c r="P12" s="122">
        <f>SUM(L12:O12)</f>
        <v>49797.240763099726</v>
      </c>
    </row>
    <row r="13" spans="1:16" x14ac:dyDescent="0.2">
      <c r="B13" s="123" t="s">
        <v>183</v>
      </c>
      <c r="C13" s="160">
        <f>C12/C7</f>
        <v>0.12670035422161596</v>
      </c>
      <c r="D13" s="160"/>
      <c r="E13" s="160"/>
      <c r="F13" s="160">
        <f t="shared" ref="F13:I13" si="5">F12/F7</f>
        <v>4.0410296225127075E-2</v>
      </c>
      <c r="G13" s="160">
        <f t="shared" si="5"/>
        <v>0.24847959871831818</v>
      </c>
      <c r="H13" s="160">
        <f t="shared" si="5"/>
        <v>0.17502388956707221</v>
      </c>
      <c r="I13" s="160">
        <f t="shared" si="5"/>
        <v>0.11919592096032712</v>
      </c>
      <c r="J13" s="89"/>
      <c r="K13" s="123" t="s">
        <v>183</v>
      </c>
      <c r="L13" s="160">
        <f t="shared" ref="L13" si="6">L12/L7</f>
        <v>0.159229237101398</v>
      </c>
      <c r="M13" s="160">
        <f t="shared" ref="M13" si="7">M12/M7</f>
        <v>0.11519956641924288</v>
      </c>
      <c r="N13" s="160">
        <f t="shared" ref="N13" si="8">N12/N7</f>
        <v>0.26700852587945606</v>
      </c>
      <c r="O13" s="160">
        <f t="shared" ref="O13:P13" si="9">O12/O7</f>
        <v>0.19111901292090036</v>
      </c>
      <c r="P13" s="160">
        <f t="shared" si="9"/>
        <v>0.15880369699361424</v>
      </c>
    </row>
    <row r="14" spans="1:16" x14ac:dyDescent="0.2">
      <c r="C14" s="124"/>
      <c r="D14" s="124"/>
      <c r="E14" s="124"/>
      <c r="F14" s="124"/>
      <c r="G14" s="124"/>
      <c r="H14" s="124"/>
      <c r="I14" s="124"/>
      <c r="L14" s="124"/>
      <c r="M14" s="124"/>
      <c r="N14" s="124"/>
      <c r="O14" s="124"/>
      <c r="P14" s="124"/>
    </row>
    <row r="15" spans="1:16" x14ac:dyDescent="0.2">
      <c r="C15" s="124"/>
      <c r="D15" s="124"/>
      <c r="E15" s="124"/>
      <c r="F15" s="124"/>
      <c r="G15" s="124"/>
      <c r="H15" s="124"/>
      <c r="I15" s="124"/>
      <c r="L15" s="124"/>
      <c r="M15" s="124"/>
      <c r="N15" s="124"/>
      <c r="O15" s="124"/>
      <c r="P15" s="124"/>
    </row>
    <row r="16" spans="1:16" x14ac:dyDescent="0.2">
      <c r="C16" s="124"/>
      <c r="D16" s="124"/>
      <c r="E16" s="124"/>
      <c r="F16" s="124"/>
      <c r="G16" s="124"/>
      <c r="H16" s="124"/>
      <c r="I16" s="124"/>
      <c r="L16" s="124"/>
      <c r="M16" s="124"/>
      <c r="N16" s="124"/>
      <c r="O16" s="124"/>
      <c r="P16" s="124"/>
    </row>
    <row r="17" spans="2:16" x14ac:dyDescent="0.2">
      <c r="C17" s="124"/>
      <c r="D17" s="124"/>
      <c r="E17" s="124"/>
      <c r="F17" s="124"/>
      <c r="G17" s="124"/>
      <c r="H17" s="124"/>
      <c r="I17" s="124"/>
      <c r="L17" s="124"/>
      <c r="M17" s="124"/>
      <c r="N17" s="124"/>
      <c r="O17" s="124"/>
      <c r="P17" s="124"/>
    </row>
    <row r="18" spans="2:16" x14ac:dyDescent="0.2">
      <c r="B18" s="120"/>
      <c r="C18" s="264" t="s">
        <v>21</v>
      </c>
      <c r="D18" s="264"/>
      <c r="E18" s="264"/>
      <c r="F18" s="264"/>
      <c r="G18" s="264"/>
      <c r="H18" s="264"/>
      <c r="I18" s="264"/>
      <c r="K18" s="120"/>
      <c r="L18" s="264" t="s">
        <v>225</v>
      </c>
      <c r="M18" s="264"/>
      <c r="N18" s="264"/>
      <c r="O18" s="264"/>
      <c r="P18" s="264"/>
    </row>
    <row r="19" spans="2:16" x14ac:dyDescent="0.2">
      <c r="B19" s="120"/>
      <c r="C19" s="132" t="s">
        <v>219</v>
      </c>
      <c r="D19" s="132" t="s">
        <v>269</v>
      </c>
      <c r="E19" s="132" t="s">
        <v>206</v>
      </c>
      <c r="F19" s="132" t="s">
        <v>220</v>
      </c>
      <c r="G19" s="132" t="s">
        <v>221</v>
      </c>
      <c r="H19" s="132" t="s">
        <v>222</v>
      </c>
      <c r="I19" s="132" t="s">
        <v>215</v>
      </c>
      <c r="K19" s="120"/>
      <c r="L19" s="132" t="s">
        <v>219</v>
      </c>
      <c r="M19" s="132" t="s">
        <v>220</v>
      </c>
      <c r="N19" s="132" t="s">
        <v>221</v>
      </c>
      <c r="O19" s="132" t="s">
        <v>222</v>
      </c>
      <c r="P19" s="132" t="s">
        <v>215</v>
      </c>
    </row>
    <row r="20" spans="2:16" x14ac:dyDescent="0.2">
      <c r="B20" s="59" t="s">
        <v>223</v>
      </c>
      <c r="C20" s="121">
        <f>'Aramex Courier'!D7</f>
        <v>299728.17011568911</v>
      </c>
      <c r="D20" s="121">
        <f>'Aramex Express+SNS'!D7</f>
        <v>199737.43791727169</v>
      </c>
      <c r="E20" s="121">
        <f>'Aramex Domestic'!D7</f>
        <v>99990.732198416925</v>
      </c>
      <c r="F20" s="121">
        <f>'Aramex Freight'!D7</f>
        <v>89472.005469589654</v>
      </c>
      <c r="G20" s="121">
        <f>'Aramex Logistics'!D7</f>
        <v>29627.234527230841</v>
      </c>
      <c r="H20" s="121">
        <f>32737.7270639149*('2023 IR Data Book'!$A$5)</f>
        <v>8914.04646950795</v>
      </c>
      <c r="I20" s="121">
        <f>C20+F20+G20+H20</f>
        <v>427741.45658201759</v>
      </c>
      <c r="J20" s="28">
        <f>C20-D20-E20</f>
        <v>4.9476511776447296E-10</v>
      </c>
      <c r="K20" s="59" t="s">
        <v>223</v>
      </c>
      <c r="L20" s="121">
        <f>918423.610580826*('2023 IR Data Book'!$A$5)</f>
        <v>250074.50051212381</v>
      </c>
      <c r="M20" s="121">
        <f>267575.35078716*('2023 IR Data Book'!$A$5)</f>
        <v>72857.199473713437</v>
      </c>
      <c r="N20" s="121">
        <f>85013.8082673105*('2023 IR Data Book'!$A$5)</f>
        <v>23148.126195967568</v>
      </c>
      <c r="O20" s="121">
        <f>22763.1096013526*('2023 IR Data Book'!$A$5)</f>
        <v>6198.0911619432009</v>
      </c>
      <c r="P20" s="121">
        <f>SUM(L20:O20)</f>
        <v>352277.91734374798</v>
      </c>
    </row>
    <row r="21" spans="2:16" x14ac:dyDescent="0.2">
      <c r="B21" s="60" t="s">
        <v>177</v>
      </c>
      <c r="C21" s="122">
        <f>'Aramex Courier'!D10</f>
        <v>88575.219637157279</v>
      </c>
      <c r="D21" s="122">
        <f>'Aramex Express+SNS'!D10</f>
        <v>64029.434303902701</v>
      </c>
      <c r="E21" s="122">
        <f>'Aramex Domestic'!D10</f>
        <v>24545.785357897665</v>
      </c>
      <c r="F21" s="122">
        <f>'Aramex Freight'!D9</f>
        <v>9245.0441605478409</v>
      </c>
      <c r="G21" s="122">
        <f>'Aramex Logistics'!D9</f>
        <v>1882.8131466358973</v>
      </c>
      <c r="H21" s="122">
        <f>22494.6156898403*('2023 IR Data Book'!$A$5)</f>
        <v>6124.9838506345086</v>
      </c>
      <c r="I21" s="122">
        <f>C21+F21+G21+H21</f>
        <v>105828.06079497552</v>
      </c>
      <c r="J21" s="28">
        <f t="shared" ref="J21:J22" si="10">C21-D21-E21</f>
        <v>-2.4643086362630129E-5</v>
      </c>
      <c r="K21" s="60" t="s">
        <v>177</v>
      </c>
      <c r="L21" s="122">
        <f>311978*('2023 IR Data Book'!$A$5)</f>
        <v>84947.44867396394</v>
      </c>
      <c r="M21" s="122">
        <f>30987*('2023 IR Data Book'!$A$5)</f>
        <v>8437.3468387518369</v>
      </c>
      <c r="N21" s="122">
        <f>11371*('2023 IR Data Book'!$A$5)</f>
        <v>3096.1716495126066</v>
      </c>
      <c r="O21" s="122">
        <f>14079*('2023 IR Data Book'!$A$5)</f>
        <v>3833.5239339977124</v>
      </c>
      <c r="P21" s="122">
        <f>SUM(L21:O21)</f>
        <v>100314.49109622609</v>
      </c>
    </row>
    <row r="22" spans="2:16" x14ac:dyDescent="0.2">
      <c r="B22" s="61" t="s">
        <v>178</v>
      </c>
      <c r="C22" s="158">
        <f>C21/C20</f>
        <v>0.2955185013239463</v>
      </c>
      <c r="D22" s="158">
        <f t="shared" ref="D22:E22" si="11">D21/D20</f>
        <v>0.32056801654992068</v>
      </c>
      <c r="E22" s="158">
        <f t="shared" si="11"/>
        <v>0.24548060423430201</v>
      </c>
      <c r="F22" s="158">
        <f t="shared" ref="F22:I22" si="12">F21/F20</f>
        <v>0.10332890284537222</v>
      </c>
      <c r="G22" s="158">
        <f t="shared" si="12"/>
        <v>6.3550080751052729E-2</v>
      </c>
      <c r="H22" s="158">
        <f t="shared" si="12"/>
        <v>0.68711598841065991</v>
      </c>
      <c r="I22" s="159">
        <f t="shared" si="12"/>
        <v>0.24741127886135453</v>
      </c>
      <c r="J22" s="28">
        <f t="shared" si="10"/>
        <v>-0.27053011946027639</v>
      </c>
      <c r="K22" s="61" t="s">
        <v>178</v>
      </c>
      <c r="L22" s="158">
        <f>L21/L20</f>
        <v>0.33968856680709686</v>
      </c>
      <c r="M22" s="158">
        <f t="shared" ref="M22:P22" si="13">M21/M20</f>
        <v>0.11580663132400519</v>
      </c>
      <c r="N22" s="158">
        <f t="shared" si="13"/>
        <v>0.13375474210314109</v>
      </c>
      <c r="O22" s="158">
        <f t="shared" si="13"/>
        <v>0.61850073415116424</v>
      </c>
      <c r="P22" s="159">
        <f t="shared" si="13"/>
        <v>0.28475952126837567</v>
      </c>
    </row>
    <row r="23" spans="2:16" x14ac:dyDescent="0.2">
      <c r="B23" s="60" t="s">
        <v>224</v>
      </c>
      <c r="C23" s="122">
        <f>'Aramex Courier'!D13</f>
        <v>28488.472398804388</v>
      </c>
      <c r="D23" s="122"/>
      <c r="E23" s="122"/>
      <c r="F23" s="122">
        <f>'Aramex Freight'!D12</f>
        <v>46.782688670048735</v>
      </c>
      <c r="G23" s="122">
        <f>'Aramex Logistics'!D12</f>
        <v>-1385.5008681730571</v>
      </c>
      <c r="H23" s="122">
        <f>-159.111807897699*('2023 IR Data Book'!$A$5)</f>
        <v>-43.324023279883193</v>
      </c>
      <c r="I23" s="122">
        <f>C23+F23+G23+H23</f>
        <v>27106.430196021498</v>
      </c>
      <c r="J23" s="28"/>
      <c r="K23" s="60" t="s">
        <v>224</v>
      </c>
      <c r="L23" s="122">
        <f>126244*('2023 IR Data Book'!$A$5)</f>
        <v>34374.557534171974</v>
      </c>
      <c r="M23" s="122">
        <f>3953*('2023 IR Data Book'!$A$5)</f>
        <v>1076.3491804171431</v>
      </c>
      <c r="N23" s="122">
        <f>1270*('2023 IR Data Book'!$A$5)</f>
        <v>345.80406251701788</v>
      </c>
      <c r="O23" s="122">
        <f>-4745*('2023 IR Data Book'!$A$5)</f>
        <v>-1292.0002178293307</v>
      </c>
      <c r="P23" s="122">
        <f>SUM(L23:O23)</f>
        <v>34504.710559276806</v>
      </c>
    </row>
    <row r="24" spans="2:16" x14ac:dyDescent="0.2">
      <c r="B24" s="61" t="s">
        <v>181</v>
      </c>
      <c r="C24" s="158">
        <f>C23/C20</f>
        <v>9.5047697344591953E-2</v>
      </c>
      <c r="D24" s="158"/>
      <c r="E24" s="158"/>
      <c r="F24" s="158">
        <f t="shared" ref="F24:I24" si="14">F23/F20</f>
        <v>5.2287515435148646E-4</v>
      </c>
      <c r="G24" s="158">
        <f t="shared" si="14"/>
        <v>-4.6764434490152031E-2</v>
      </c>
      <c r="H24" s="158">
        <f t="shared" si="14"/>
        <v>-4.860197153793237E-3</v>
      </c>
      <c r="I24" s="159">
        <f t="shared" si="14"/>
        <v>6.3371061604883178E-2</v>
      </c>
      <c r="J24" s="28"/>
      <c r="K24" s="61" t="s">
        <v>181</v>
      </c>
      <c r="L24" s="158">
        <f>L23/L20</f>
        <v>0.13745726758936572</v>
      </c>
      <c r="M24" s="158">
        <f t="shared" ref="M24:P24" si="15">M23/M20</f>
        <v>1.4773408643101706E-2</v>
      </c>
      <c r="N24" s="158">
        <f t="shared" si="15"/>
        <v>1.4938749667662404E-2</v>
      </c>
      <c r="O24" s="158">
        <f t="shared" si="15"/>
        <v>-0.20845130929379038</v>
      </c>
      <c r="P24" s="159">
        <f t="shared" si="15"/>
        <v>9.7947412711673273E-2</v>
      </c>
    </row>
    <row r="25" spans="2:16" x14ac:dyDescent="0.2">
      <c r="B25" s="61" t="s">
        <v>182</v>
      </c>
      <c r="C25" s="157">
        <f>'Aramex Courier'!D15</f>
        <v>44773.075117149434</v>
      </c>
      <c r="D25" s="157"/>
      <c r="E25" s="157"/>
      <c r="F25" s="157">
        <f>'Aramex Freight'!D14</f>
        <v>2103.6559215621305</v>
      </c>
      <c r="G25" s="157">
        <f>'Aramex Logistics'!D14</f>
        <v>4679.2517905614004</v>
      </c>
      <c r="H25" s="157">
        <f>3366.65007097598*('2023 IR Data Book'!$A$5)</f>
        <v>916.69391465881927</v>
      </c>
      <c r="I25" s="122">
        <f>C25+F25+G25+H25</f>
        <v>52472.676743931785</v>
      </c>
      <c r="J25" s="28"/>
      <c r="K25" s="61" t="s">
        <v>182</v>
      </c>
      <c r="L25" s="157">
        <f>179449.986513259*('2023 IR Data Book'!$A$5)</f>
        <v>48861.838074731524</v>
      </c>
      <c r="M25" s="157">
        <f>10653.4667073961*('2023 IR Data Book'!$A$5)</f>
        <v>2900.7969033916302</v>
      </c>
      <c r="N25" s="157">
        <f>21000.470435179*('2023 IR Data Book'!$A$5)</f>
        <v>5718.1480246089959</v>
      </c>
      <c r="O25" s="157">
        <f>-1714.19742397212*('2023 IR Data Book'!$A$5)</f>
        <v>-466.75309698091814</v>
      </c>
      <c r="P25" s="122">
        <f>SUM(L25:O25)</f>
        <v>57014.029905751231</v>
      </c>
    </row>
    <row r="26" spans="2:16" x14ac:dyDescent="0.2">
      <c r="B26" s="123" t="s">
        <v>183</v>
      </c>
      <c r="C26" s="160">
        <f>C25/C20</f>
        <v>0.14937893592006357</v>
      </c>
      <c r="D26" s="160"/>
      <c r="E26" s="160"/>
      <c r="F26" s="160">
        <f t="shared" ref="F26:I26" si="16">F25/F20</f>
        <v>2.3511889674554521E-2</v>
      </c>
      <c r="G26" s="160">
        <f t="shared" si="16"/>
        <v>0.15793751476401313</v>
      </c>
      <c r="H26" s="160">
        <f t="shared" si="16"/>
        <v>0.10283701322340316</v>
      </c>
      <c r="I26" s="160">
        <f t="shared" si="16"/>
        <v>0.12267381600845691</v>
      </c>
      <c r="J26" s="28"/>
      <c r="K26" s="123" t="s">
        <v>183</v>
      </c>
      <c r="L26" s="160">
        <f>L25/L20</f>
        <v>0.19538912593914254</v>
      </c>
      <c r="M26" s="160">
        <f t="shared" ref="M26:P26" si="17">M25/M20</f>
        <v>3.9814828518604059E-2</v>
      </c>
      <c r="N26" s="160">
        <f t="shared" si="17"/>
        <v>0.24702422892463341</v>
      </c>
      <c r="O26" s="160">
        <f t="shared" si="17"/>
        <v>-7.5305942553220456E-2</v>
      </c>
      <c r="P26" s="160">
        <f t="shared" si="17"/>
        <v>0.16184389397907595</v>
      </c>
    </row>
    <row r="27" spans="2:16" x14ac:dyDescent="0.2">
      <c r="C27" s="124"/>
      <c r="D27" s="124"/>
      <c r="E27" s="124"/>
      <c r="F27" s="124"/>
      <c r="G27" s="124"/>
      <c r="H27" s="124"/>
      <c r="I27" s="124"/>
      <c r="L27" s="124"/>
      <c r="M27" s="124"/>
      <c r="N27" s="124"/>
      <c r="O27" s="124"/>
      <c r="P27" s="124"/>
    </row>
    <row r="28" spans="2:16" x14ac:dyDescent="0.2">
      <c r="C28" s="124"/>
      <c r="D28" s="124"/>
      <c r="E28" s="124"/>
      <c r="F28" s="124"/>
      <c r="G28" s="124"/>
      <c r="H28" s="124"/>
      <c r="I28" s="124"/>
      <c r="L28" s="124"/>
      <c r="M28" s="124"/>
      <c r="N28" s="124"/>
      <c r="O28" s="124"/>
      <c r="P28" s="124"/>
    </row>
    <row r="29" spans="2:16" x14ac:dyDescent="0.2">
      <c r="C29" s="124"/>
      <c r="D29" s="124"/>
      <c r="E29" s="124"/>
      <c r="F29" s="124"/>
      <c r="G29" s="124"/>
      <c r="H29" s="124"/>
      <c r="I29" s="124"/>
      <c r="L29" s="124"/>
      <c r="M29" s="124"/>
      <c r="N29" s="124"/>
      <c r="O29" s="124"/>
      <c r="P29" s="124"/>
    </row>
    <row r="31" spans="2:16" x14ac:dyDescent="0.2">
      <c r="B31" s="120"/>
      <c r="C31" s="264" t="s">
        <v>22</v>
      </c>
      <c r="D31" s="264"/>
      <c r="E31" s="264"/>
      <c r="F31" s="264"/>
      <c r="G31" s="264"/>
      <c r="H31" s="264"/>
      <c r="I31" s="264"/>
      <c r="K31" s="120"/>
      <c r="L31" s="264" t="s">
        <v>226</v>
      </c>
      <c r="M31" s="264"/>
      <c r="N31" s="264"/>
      <c r="O31" s="264"/>
      <c r="P31" s="264"/>
    </row>
    <row r="32" spans="2:16" x14ac:dyDescent="0.2">
      <c r="B32" s="120"/>
      <c r="C32" s="132" t="s">
        <v>219</v>
      </c>
      <c r="D32" s="132" t="s">
        <v>269</v>
      </c>
      <c r="E32" s="132" t="s">
        <v>206</v>
      </c>
      <c r="F32" s="132" t="s">
        <v>220</v>
      </c>
      <c r="G32" s="132" t="s">
        <v>221</v>
      </c>
      <c r="H32" s="132" t="s">
        <v>222</v>
      </c>
      <c r="I32" s="132" t="s">
        <v>215</v>
      </c>
      <c r="K32" s="120"/>
      <c r="L32" s="132" t="s">
        <v>219</v>
      </c>
      <c r="M32" s="132" t="s">
        <v>220</v>
      </c>
      <c r="N32" s="132" t="s">
        <v>221</v>
      </c>
      <c r="O32" s="132" t="s">
        <v>222</v>
      </c>
      <c r="P32" s="132" t="s">
        <v>215</v>
      </c>
    </row>
    <row r="33" spans="2:18" x14ac:dyDescent="0.2">
      <c r="B33" s="59" t="s">
        <v>223</v>
      </c>
      <c r="C33" s="121">
        <f>'Aramex Courier'!E7</f>
        <v>291251.90801540873</v>
      </c>
      <c r="D33" s="121">
        <f>'Aramex Express+SNS'!E7</f>
        <v>165789.03939558187</v>
      </c>
      <c r="E33" s="121">
        <f>'Aramex Domestic'!E7</f>
        <v>125462.86861982736</v>
      </c>
      <c r="F33" s="121">
        <f>'Aramex Freight'!E7</f>
        <v>86587.146988338238</v>
      </c>
      <c r="G33" s="121">
        <f>'Aramex Logistics'!E7</f>
        <v>29528.129983085277</v>
      </c>
      <c r="H33" s="121">
        <f>-34692.5657379868*('2023 IR Data Book'!$A$5)</f>
        <v>-9446.3229695547561</v>
      </c>
      <c r="I33" s="121">
        <f>C33+F33+G33+H33</f>
        <v>397920.86201727751</v>
      </c>
      <c r="J33" s="89">
        <f t="shared" ref="J33:J35" si="18">C33-D33-E33</f>
        <v>-5.0931703299283981E-10</v>
      </c>
      <c r="K33" s="59" t="s">
        <v>223</v>
      </c>
      <c r="L33" s="121">
        <f>1065472.5562529*('2023 IR Data Book'!$A$5)</f>
        <v>290113.967285547</v>
      </c>
      <c r="M33" s="121">
        <f>274871.806204384*('2023 IR Data Book'!$A$5)</f>
        <v>74843.92697391058</v>
      </c>
      <c r="N33" s="121">
        <f>94045.7817679466*('2023 IR Data Book'!$A$5)</f>
        <v>25607.412124366005</v>
      </c>
      <c r="O33" s="121">
        <f>32143.5876797614*('2023 IR Data Book'!$A$5)</f>
        <v>8752.2702390027225</v>
      </c>
      <c r="P33" s="121">
        <f>SUM(L33:O33)</f>
        <v>399317.57662282634</v>
      </c>
    </row>
    <row r="34" spans="2:18" x14ac:dyDescent="0.2">
      <c r="B34" s="60" t="s">
        <v>177</v>
      </c>
      <c r="C34" s="122">
        <f>'Aramex Courier'!E10</f>
        <v>87713.988392019586</v>
      </c>
      <c r="D34" s="122">
        <f>'Aramex Express+SNS'!E10</f>
        <v>53047.345390897186</v>
      </c>
      <c r="E34" s="122">
        <f>'Aramex Domestic'!E10</f>
        <v>34665.662593441972</v>
      </c>
      <c r="F34" s="122">
        <f>'Aramex Freight'!E9</f>
        <v>10404.268778629601</v>
      </c>
      <c r="G34" s="122">
        <f>'Aramex Logistics'!E9</f>
        <v>3721.5625675601477</v>
      </c>
      <c r="H34" s="122">
        <f>-17937.2596997755*('2023 IR Data Book'!$A$5)</f>
        <v>-4884.0765941772852</v>
      </c>
      <c r="I34" s="122">
        <f>C34+F34+G34+H34</f>
        <v>96955.743144032051</v>
      </c>
      <c r="J34" s="89">
        <f t="shared" si="18"/>
        <v>0.98040768042847048</v>
      </c>
      <c r="K34" s="60" t="s">
        <v>177</v>
      </c>
      <c r="L34" s="122">
        <f>343301*('2023 IR Data Book'!$A$5)</f>
        <v>93476.283831617926</v>
      </c>
      <c r="M34" s="122">
        <f>33865*('2023 IR Data Book'!$A$5)</f>
        <v>9220.9878560148118</v>
      </c>
      <c r="N34" s="122">
        <f>11665*('2023 IR Data Book'!$A$5)</f>
        <v>3176.2239285519795</v>
      </c>
      <c r="O34" s="122">
        <f>19225*('2023 IR Data Book'!$A$5)</f>
        <v>5234.7111038501334</v>
      </c>
      <c r="P34" s="122">
        <f>SUM(L34:O34)</f>
        <v>111108.20672003484</v>
      </c>
    </row>
    <row r="35" spans="2:18" x14ac:dyDescent="0.2">
      <c r="B35" s="61" t="s">
        <v>178</v>
      </c>
      <c r="C35" s="158">
        <f>C34/C33</f>
        <v>0.30116193569238031</v>
      </c>
      <c r="D35" s="158">
        <f t="shared" ref="D35:E35" si="19">D34/D33</f>
        <v>0.31996895322086566</v>
      </c>
      <c r="E35" s="158">
        <f t="shared" si="19"/>
        <v>0.27630216792256279</v>
      </c>
      <c r="F35" s="158">
        <f t="shared" ref="F35:I35" si="20">F34/F33</f>
        <v>0.12015950566001295</v>
      </c>
      <c r="G35" s="158">
        <f t="shared" si="20"/>
        <v>0.12603448202415751</v>
      </c>
      <c r="H35" s="158">
        <f t="shared" si="20"/>
        <v>0.51703468216347592</v>
      </c>
      <c r="I35" s="159">
        <f t="shared" si="20"/>
        <v>0.24365584315562294</v>
      </c>
      <c r="J35" s="89">
        <f t="shared" si="18"/>
        <v>-0.29510918545104814</v>
      </c>
      <c r="K35" s="61" t="s">
        <v>178</v>
      </c>
      <c r="L35" s="158">
        <f>L34/L33</f>
        <v>0.32220538951029937</v>
      </c>
      <c r="M35" s="158">
        <f t="shared" ref="M35:P35" si="21">M34/M33</f>
        <v>0.12320288671155782</v>
      </c>
      <c r="N35" s="158">
        <f t="shared" si="21"/>
        <v>0.12403533450104995</v>
      </c>
      <c r="O35" s="158">
        <f t="shared" si="21"/>
        <v>0.59809751766149788</v>
      </c>
      <c r="P35" s="159">
        <f t="shared" si="21"/>
        <v>0.27824521940586056</v>
      </c>
    </row>
    <row r="36" spans="2:18" x14ac:dyDescent="0.2">
      <c r="B36" s="61" t="s">
        <v>224</v>
      </c>
      <c r="C36" s="122">
        <f>'Aramex Courier'!E13</f>
        <v>11551.334738508222</v>
      </c>
      <c r="D36" s="122"/>
      <c r="E36" s="122"/>
      <c r="F36" s="122">
        <f>'Aramex Freight'!E12</f>
        <v>1535.7160650360372</v>
      </c>
      <c r="G36" s="122">
        <f>'Aramex Logistics'!E12</f>
        <v>1583.7290523495126</v>
      </c>
      <c r="H36" s="122">
        <f>14139.974323889*('2023 IR Data Book'!$A$5)</f>
        <v>3850.1264292024721</v>
      </c>
      <c r="I36" s="122">
        <f>C36+F36+G36+H36</f>
        <v>18520.906285096244</v>
      </c>
      <c r="J36" s="89"/>
      <c r="K36" s="61" t="s">
        <v>224</v>
      </c>
      <c r="L36" s="122">
        <f>135940*('2023 IR Data Book'!$A$5)</f>
        <v>37014.649022490878</v>
      </c>
      <c r="M36" s="122">
        <f>3055*('2023 IR Data Book'!$A$5)</f>
        <v>831.83575668463754</v>
      </c>
      <c r="N36" s="122">
        <f>-53234*('2023 IR Data Book'!$A$5)</f>
        <v>-14494.908239394434</v>
      </c>
      <c r="O36" s="122">
        <f>-1607*('2023 IR Data Book'!$A$5)</f>
        <v>-437.56466808255732</v>
      </c>
      <c r="P36" s="122">
        <f>SUM(L36:O36)</f>
        <v>22914.011871698527</v>
      </c>
    </row>
    <row r="37" spans="2:18" x14ac:dyDescent="0.2">
      <c r="B37" s="61" t="s">
        <v>181</v>
      </c>
      <c r="C37" s="158">
        <f>C36/C33</f>
        <v>3.9660975329634911E-2</v>
      </c>
      <c r="D37" s="158"/>
      <c r="E37" s="158"/>
      <c r="F37" s="158">
        <f t="shared" ref="F37:I37" si="22">F36/F33</f>
        <v>1.7736074214835501E-2</v>
      </c>
      <c r="G37" s="158">
        <f t="shared" si="22"/>
        <v>5.3634586858589649E-2</v>
      </c>
      <c r="H37" s="158">
        <f t="shared" si="22"/>
        <v>-0.40757937682327033</v>
      </c>
      <c r="I37" s="159">
        <f t="shared" si="22"/>
        <v>4.6544195223149863E-2</v>
      </c>
      <c r="J37" s="89"/>
      <c r="K37" s="61" t="s">
        <v>181</v>
      </c>
      <c r="L37" s="158">
        <f>L36/L33</f>
        <v>0.12758658043533255</v>
      </c>
      <c r="M37" s="158">
        <f t="shared" ref="M37:P37" si="23">M36/M33</f>
        <v>1.1114271929833431E-2</v>
      </c>
      <c r="N37" s="158">
        <f t="shared" si="23"/>
        <v>-0.56604346308005937</v>
      </c>
      <c r="O37" s="158">
        <f t="shared" si="23"/>
        <v>-4.9994419291652908E-2</v>
      </c>
      <c r="P37" s="159">
        <f t="shared" si="23"/>
        <v>5.7382928308567435E-2</v>
      </c>
    </row>
    <row r="38" spans="2:18" x14ac:dyDescent="0.2">
      <c r="B38" s="61" t="s">
        <v>182</v>
      </c>
      <c r="C38" s="157">
        <f>'Aramex Courier'!E15</f>
        <v>30869.822139541466</v>
      </c>
      <c r="D38" s="157"/>
      <c r="E38" s="157"/>
      <c r="F38" s="157">
        <f>'Aramex Freight'!E14</f>
        <v>3353.7117493265259</v>
      </c>
      <c r="G38" s="157">
        <f>'Aramex Logistics'!E14</f>
        <v>7874.2526350672279</v>
      </c>
      <c r="H38" s="157">
        <f>8523.57514388524*('2023 IR Data Book'!$A$5)</f>
        <v>2320.8558361610958</v>
      </c>
      <c r="I38" s="122">
        <f>C38+F38+G38+H38</f>
        <v>44418.642360096317</v>
      </c>
      <c r="J38" s="89"/>
      <c r="K38" s="61" t="s">
        <v>182</v>
      </c>
      <c r="L38" s="157">
        <f>190817.974518227*('2023 IR Data Book'!$A$5)</f>
        <v>51957.189598166697</v>
      </c>
      <c r="M38" s="157">
        <f>8915.85774876994*('2023 IR Data Book'!$A$5)</f>
        <v>2427.6691577547076</v>
      </c>
      <c r="N38" s="157">
        <f>-32546.2048357356*('2023 IR Data Book'!$A$5)</f>
        <v>-8861.8975210302233</v>
      </c>
      <c r="O38" s="157">
        <f>2291.72712826686*('2023 IR Data Book'!$A$5)</f>
        <v>624.0067331772749</v>
      </c>
      <c r="P38" s="122">
        <f>SUM(L38:O38)</f>
        <v>46146.967968068457</v>
      </c>
    </row>
    <row r="39" spans="2:18" x14ac:dyDescent="0.2">
      <c r="B39" s="123" t="s">
        <v>183</v>
      </c>
      <c r="C39" s="160">
        <f>C38/C33</f>
        <v>0.10599011127476732</v>
      </c>
      <c r="D39" s="160"/>
      <c r="E39" s="160"/>
      <c r="F39" s="160">
        <f t="shared" ref="F39:I39" si="24">F38/F33</f>
        <v>3.873221218130922E-2</v>
      </c>
      <c r="G39" s="160">
        <f t="shared" si="24"/>
        <v>0.26666953307161234</v>
      </c>
      <c r="H39" s="160">
        <f t="shared" si="24"/>
        <v>-0.24568880861274292</v>
      </c>
      <c r="I39" s="160">
        <f t="shared" si="24"/>
        <v>0.11162682482872105</v>
      </c>
      <c r="J39" s="89"/>
      <c r="K39" s="123" t="s">
        <v>183</v>
      </c>
      <c r="L39" s="160">
        <f>L38/L33</f>
        <v>0.17909234113856853</v>
      </c>
      <c r="M39" s="160">
        <f t="shared" ref="M39:P39" si="25">M38/M33</f>
        <v>3.2436421442730484E-2</v>
      </c>
      <c r="N39" s="160">
        <f t="shared" si="25"/>
        <v>-0.34606767282813156</v>
      </c>
      <c r="O39" s="160">
        <f t="shared" si="25"/>
        <v>7.129655690891662E-2</v>
      </c>
      <c r="P39" s="160">
        <f t="shared" si="25"/>
        <v>0.11556457984732381</v>
      </c>
    </row>
    <row r="42" spans="2:18" x14ac:dyDescent="0.2">
      <c r="B42" s="120"/>
      <c r="C42" s="264" t="s">
        <v>23</v>
      </c>
      <c r="D42" s="264"/>
      <c r="E42" s="264"/>
      <c r="F42" s="264"/>
      <c r="G42" s="264"/>
      <c r="H42" s="264"/>
      <c r="I42" s="264"/>
      <c r="K42" s="120"/>
      <c r="L42" s="264" t="s">
        <v>227</v>
      </c>
      <c r="M42" s="264"/>
      <c r="N42" s="264"/>
      <c r="O42" s="264"/>
      <c r="P42" s="264"/>
    </row>
    <row r="43" spans="2:18" x14ac:dyDescent="0.2">
      <c r="B43" s="120"/>
      <c r="C43" s="132" t="s">
        <v>219</v>
      </c>
      <c r="D43" s="132" t="s">
        <v>269</v>
      </c>
      <c r="E43" s="132" t="s">
        <v>206</v>
      </c>
      <c r="F43" s="132" t="s">
        <v>220</v>
      </c>
      <c r="G43" s="132" t="s">
        <v>221</v>
      </c>
      <c r="H43" s="132" t="s">
        <v>222</v>
      </c>
      <c r="I43" s="132" t="s">
        <v>215</v>
      </c>
      <c r="K43" s="120"/>
      <c r="L43" s="132" t="s">
        <v>219</v>
      </c>
      <c r="M43" s="132" t="s">
        <v>220</v>
      </c>
      <c r="N43" s="132" t="s">
        <v>221</v>
      </c>
      <c r="O43" s="132" t="s">
        <v>222</v>
      </c>
      <c r="P43" s="132" t="s">
        <v>215</v>
      </c>
    </row>
    <row r="44" spans="2:18" x14ac:dyDescent="0.2">
      <c r="B44" s="59" t="s">
        <v>223</v>
      </c>
      <c r="C44" s="121">
        <f>'Aramex Courier'!F7</f>
        <v>298740.34110140498</v>
      </c>
      <c r="D44" s="121">
        <f>'Aramex Express+SNS'!F7</f>
        <v>183302.44483557099</v>
      </c>
      <c r="E44" s="121">
        <f>'Aramex Domestic'!F7</f>
        <v>115437.89626583483</v>
      </c>
      <c r="F44" s="121">
        <f>'Aramex Freight'!F7</f>
        <v>106375.87104304251</v>
      </c>
      <c r="G44" s="121">
        <f>'Aramex Logistics'!F7</f>
        <v>30772.860588623316</v>
      </c>
      <c r="H44" s="121">
        <f>10698.3087688035*('2023 IR Data Book'!$A$5)</f>
        <v>2913.0067986721938</v>
      </c>
      <c r="I44" s="122">
        <f>C44+F44+G44+H44</f>
        <v>438802.07953174302</v>
      </c>
      <c r="J44" s="89">
        <f t="shared" ref="J44:J46" si="26">C44-D44-E44</f>
        <v>-8.440110832452774E-10</v>
      </c>
      <c r="K44" s="59" t="s">
        <v>223</v>
      </c>
      <c r="L44" s="121">
        <f>1183088.24381891*('2023 IR Data Book'!$A$5)</f>
        <v>322139.1504163018</v>
      </c>
      <c r="M44" s="121">
        <f>279847.239544934*('2023 IR Data Book'!$A$5)</f>
        <v>76198.671117174206</v>
      </c>
      <c r="N44" s="121">
        <f>100758.250635899*('2023 IR Data Book'!$A$5)</f>
        <v>27435.127875591952</v>
      </c>
      <c r="O44" s="121">
        <f>34652.0164646013*('2023 IR Data Book'!$A$5)</f>
        <v>9435.2819432013548</v>
      </c>
      <c r="P44" s="121">
        <f>SUM(L44:O44)</f>
        <v>435208.23135226936</v>
      </c>
      <c r="R44" s="28"/>
    </row>
    <row r="45" spans="2:18" x14ac:dyDescent="0.2">
      <c r="B45" s="60" t="s">
        <v>177</v>
      </c>
      <c r="C45" s="122">
        <f>'Aramex Courier'!F10</f>
        <v>73379.523091181967</v>
      </c>
      <c r="D45" s="122">
        <f>'Aramex Express+SNS'!F10</f>
        <v>50247.341362648003</v>
      </c>
      <c r="E45" s="122">
        <f>'Aramex Domestic'!F10</f>
        <v>23133.144362153791</v>
      </c>
      <c r="F45" s="122">
        <f>'Aramex Freight'!F9</f>
        <v>12219.779379998901</v>
      </c>
      <c r="G45" s="122">
        <f>'Aramex Logistics'!F9</f>
        <v>1051.796095762129</v>
      </c>
      <c r="H45" s="122">
        <f>9242.01243149337*('2023 IR Data Book'!$A$5)</f>
        <v>2516.4767280655037</v>
      </c>
      <c r="I45" s="122">
        <f>C45+F45+G45+H45</f>
        <v>89167.575295008501</v>
      </c>
      <c r="J45" s="89">
        <f t="shared" si="26"/>
        <v>-0.96263361982710194</v>
      </c>
      <c r="K45" s="60" t="s">
        <v>177</v>
      </c>
      <c r="L45" s="122">
        <f>354414*('2023 IR Data Book'!$A$5)</f>
        <v>96502.205521973534</v>
      </c>
      <c r="M45" s="122">
        <f>18812*('2023 IR Data Book'!$A$5)</f>
        <v>5122.2567118662528</v>
      </c>
      <c r="N45" s="122">
        <f>9009.99999999999*('2023 IR Data Book'!$A$5)</f>
        <v>2453.3028372270301</v>
      </c>
      <c r="O45" s="122">
        <f>24736*('2023 IR Data Book'!$A$5)</f>
        <v>6735.2829058432717</v>
      </c>
      <c r="P45" s="122">
        <f>SUM(L45:O45)</f>
        <v>110813.04797691009</v>
      </c>
      <c r="R45" s="28"/>
    </row>
    <row r="46" spans="2:18" x14ac:dyDescent="0.2">
      <c r="B46" s="61" t="s">
        <v>178</v>
      </c>
      <c r="C46" s="158">
        <f>C45/C44</f>
        <v>0.24562977608127551</v>
      </c>
      <c r="D46" s="158">
        <f t="shared" ref="D46:E46" si="27">D45/D44</f>
        <v>0.27412259235124609</v>
      </c>
      <c r="E46" s="158">
        <f t="shared" si="27"/>
        <v>0.20039471534444717</v>
      </c>
      <c r="F46" s="158">
        <f t="shared" ref="F46:I46" si="28">F45/F44</f>
        <v>0.11487360112947469</v>
      </c>
      <c r="G46" s="158">
        <f t="shared" si="28"/>
        <v>3.4179341005138031E-2</v>
      </c>
      <c r="H46" s="158">
        <f t="shared" si="28"/>
        <v>0.86387602295077504</v>
      </c>
      <c r="I46" s="159">
        <f t="shared" si="28"/>
        <v>0.20320682023695402</v>
      </c>
      <c r="J46" s="89">
        <f t="shared" si="26"/>
        <v>-0.22888753161441774</v>
      </c>
      <c r="K46" s="61" t="s">
        <v>178</v>
      </c>
      <c r="L46" s="158">
        <f t="shared" ref="L46" si="29">L45/L44</f>
        <v>0.29956683438589604</v>
      </c>
      <c r="M46" s="158">
        <f t="shared" ref="M46" si="30">M45/M44</f>
        <v>6.7222389009770567E-2</v>
      </c>
      <c r="N46" s="158">
        <f t="shared" ref="N46" si="31">N45/N44</f>
        <v>8.9421957439084709E-2</v>
      </c>
      <c r="O46" s="158">
        <f t="shared" ref="O46" si="32">O45/O44</f>
        <v>0.71384013179345607</v>
      </c>
      <c r="P46" s="159">
        <f t="shared" ref="P46" si="33">P45/P44</f>
        <v>0.25462075391495753</v>
      </c>
    </row>
    <row r="47" spans="2:18" x14ac:dyDescent="0.2">
      <c r="B47" s="61" t="s">
        <v>224</v>
      </c>
      <c r="C47" s="122">
        <f>'Aramex Courier'!F13</f>
        <v>10178.069397707917</v>
      </c>
      <c r="D47" s="122"/>
      <c r="E47" s="122"/>
      <c r="F47" s="122">
        <f>'Aramex Freight'!F12</f>
        <v>1126.3981689681777</v>
      </c>
      <c r="G47" s="122">
        <f>'Aramex Logistics'!F12</f>
        <v>4318.1274651349449</v>
      </c>
      <c r="H47" s="122">
        <f>1272.02172689161*('2023 IR Data Book'!$A$5)</f>
        <v>346.35455178663886</v>
      </c>
      <c r="I47" s="122">
        <f>C47+F47+G47+H47</f>
        <v>15968.94958359768</v>
      </c>
      <c r="K47" s="61" t="s">
        <v>224</v>
      </c>
      <c r="L47" s="122">
        <f>127651*('2023 IR Data Book'!$A$5)</f>
        <v>34757.664869574684</v>
      </c>
      <c r="M47" s="122">
        <f>-13506*('2023 IR Data Book'!$A$5)</f>
        <v>-3677.5036758699557</v>
      </c>
      <c r="N47" s="122">
        <f>-39394*('2023 IR Data Book'!$A$5)</f>
        <v>-10726.460817949137</v>
      </c>
      <c r="O47" s="122">
        <f>14414*('2023 IR Data Book'!$A$5)</f>
        <v>3924.7399662364537</v>
      </c>
      <c r="P47" s="122">
        <f>SUM(L47:O47)</f>
        <v>24278.440341992045</v>
      </c>
      <c r="R47" s="28"/>
    </row>
    <row r="48" spans="2:18" x14ac:dyDescent="0.2">
      <c r="B48" s="61" t="s">
        <v>181</v>
      </c>
      <c r="C48" s="158">
        <f>C47/C44</f>
        <v>3.4069953057505063E-2</v>
      </c>
      <c r="D48" s="158"/>
      <c r="E48" s="158"/>
      <c r="F48" s="158">
        <f t="shared" ref="F48:I48" si="34">F47/F44</f>
        <v>1.0588850252633016E-2</v>
      </c>
      <c r="G48" s="158">
        <f t="shared" si="34"/>
        <v>0.14032258888311966</v>
      </c>
      <c r="H48" s="158">
        <f t="shared" si="34"/>
        <v>0.11889932833130157</v>
      </c>
      <c r="I48" s="159">
        <f t="shared" si="34"/>
        <v>3.6392146547342158E-2</v>
      </c>
      <c r="K48" s="61" t="s">
        <v>181</v>
      </c>
      <c r="L48" s="158">
        <f>L47/L44</f>
        <v>0.10789643178935937</v>
      </c>
      <c r="M48" s="158">
        <f t="shared" ref="M48:P48" si="35">M47/M44</f>
        <v>-4.8262044756855263E-2</v>
      </c>
      <c r="N48" s="158">
        <f t="shared" si="35"/>
        <v>-0.39097542634354127</v>
      </c>
      <c r="O48" s="158">
        <f t="shared" si="35"/>
        <v>0.41596424885474109</v>
      </c>
      <c r="P48" s="159">
        <f t="shared" si="35"/>
        <v>5.5785802273441876E-2</v>
      </c>
    </row>
    <row r="49" spans="2:18" x14ac:dyDescent="0.2">
      <c r="B49" s="61" t="s">
        <v>182</v>
      </c>
      <c r="C49" s="157">
        <f>'Aramex Courier'!F15</f>
        <v>26555.424372156322</v>
      </c>
      <c r="D49" s="157"/>
      <c r="E49" s="157"/>
      <c r="F49" s="157">
        <f>'Aramex Freight'!F14</f>
        <v>3126.469187774383</v>
      </c>
      <c r="G49" s="157">
        <f>'Aramex Logistics'!F14</f>
        <v>10401.732400954201</v>
      </c>
      <c r="H49" s="157">
        <f>2438.17697022321*('2023 IR Data Book'!$A$5)</f>
        <v>663.88307199891358</v>
      </c>
      <c r="I49" s="122">
        <f>C49+F49+G49+H49</f>
        <v>40747.50903288382</v>
      </c>
      <c r="K49" s="61" t="s">
        <v>182</v>
      </c>
      <c r="L49" s="157">
        <f>185007.379428629*('2023 IR Data Book'!$A$5)</f>
        <v>50375.042048856121</v>
      </c>
      <c r="M49" s="157">
        <f>1935.44186111497*('2023 IR Data Book'!$A$5)</f>
        <v>526.99500656618466</v>
      </c>
      <c r="N49" s="157">
        <f>-18868.2903895795*('2023 IR Data Book'!$A$5)</f>
        <v>-5137.5838342262969</v>
      </c>
      <c r="O49" s="157">
        <f>11528.0646359834*('2023 IR Data Book'!$A$5)</f>
        <v>3138.9382551825411</v>
      </c>
      <c r="P49" s="122">
        <f>SUM(L49:O49)</f>
        <v>48903.391476378551</v>
      </c>
      <c r="R49" s="28"/>
    </row>
    <row r="50" spans="2:18" x14ac:dyDescent="0.2">
      <c r="B50" s="123" t="s">
        <v>183</v>
      </c>
      <c r="C50" s="160">
        <f>C49/C44</f>
        <v>8.8891323730337105E-2</v>
      </c>
      <c r="D50" s="160"/>
      <c r="E50" s="160"/>
      <c r="F50" s="160">
        <f t="shared" ref="F50:I50" si="36">F49/F44</f>
        <v>2.9390774027216477E-2</v>
      </c>
      <c r="G50" s="160">
        <f t="shared" si="36"/>
        <v>0.33801642752704331</v>
      </c>
      <c r="H50" s="160">
        <f t="shared" si="36"/>
        <v>0.22790302868552337</v>
      </c>
      <c r="I50" s="160">
        <f t="shared" si="36"/>
        <v>9.2860792903184358E-2</v>
      </c>
      <c r="K50" s="123" t="s">
        <v>183</v>
      </c>
      <c r="L50" s="160">
        <f t="shared" ref="L50:P50" si="37">L49/L44</f>
        <v>0.15637665270972573</v>
      </c>
      <c r="M50" s="160">
        <f t="shared" si="37"/>
        <v>6.9160655801437819E-3</v>
      </c>
      <c r="N50" s="160">
        <f t="shared" si="37"/>
        <v>-0.18726298115041851</v>
      </c>
      <c r="O50" s="160">
        <f t="shared" si="37"/>
        <v>0.33268091765337449</v>
      </c>
      <c r="P50" s="160">
        <f t="shared" si="37"/>
        <v>0.1123677999481467</v>
      </c>
    </row>
    <row r="53" spans="2:18" x14ac:dyDescent="0.2">
      <c r="B53" s="120"/>
      <c r="C53" s="264" t="s">
        <v>25</v>
      </c>
      <c r="D53" s="264"/>
      <c r="E53" s="264"/>
      <c r="F53" s="264"/>
      <c r="G53" s="264"/>
      <c r="H53" s="264"/>
      <c r="I53" s="264"/>
    </row>
    <row r="54" spans="2:18" x14ac:dyDescent="0.2">
      <c r="B54" s="120"/>
      <c r="C54" s="132" t="s">
        <v>219</v>
      </c>
      <c r="D54" s="132" t="s">
        <v>269</v>
      </c>
      <c r="E54" s="132" t="s">
        <v>206</v>
      </c>
      <c r="F54" s="132" t="s">
        <v>220</v>
      </c>
      <c r="G54" s="132" t="s">
        <v>221</v>
      </c>
      <c r="H54" s="132" t="s">
        <v>222</v>
      </c>
      <c r="I54" s="132" t="s">
        <v>215</v>
      </c>
      <c r="K54" s="28"/>
    </row>
    <row r="55" spans="2:18" x14ac:dyDescent="0.2">
      <c r="B55" s="59" t="s">
        <v>223</v>
      </c>
      <c r="C55" s="121">
        <f>'Aramex Courier'!H7</f>
        <v>254756.00010891465</v>
      </c>
      <c r="D55" s="121">
        <f>'Aramex Express+SNS'!H7</f>
        <v>152201.99999999997</v>
      </c>
      <c r="E55" s="121">
        <f>'Aramex Domestic'!H7</f>
        <v>102554.20752683167</v>
      </c>
      <c r="F55" s="121">
        <f>'Aramex Freight'!H7</f>
        <v>106500.2088246335</v>
      </c>
      <c r="G55" s="121">
        <f>'Aramex Logistics'!H7</f>
        <v>30524.76710459511</v>
      </c>
      <c r="H55" s="121">
        <f>10076.8732277094*('2023 IR Data Book'!$A$5)</f>
        <v>2743.7981886699886</v>
      </c>
      <c r="I55" s="121">
        <f>C55+F55+G55+H55</f>
        <v>394524.77422681329</v>
      </c>
      <c r="J55" s="211">
        <f>C55-D55-E55</f>
        <v>-0.20741791698674206</v>
      </c>
      <c r="K55" s="28"/>
    </row>
    <row r="56" spans="2:18" x14ac:dyDescent="0.2">
      <c r="B56" s="60" t="s">
        <v>177</v>
      </c>
      <c r="C56" s="122">
        <f>'Aramex Courier'!H10</f>
        <v>73666.756382887863</v>
      </c>
      <c r="D56" s="122">
        <f>'Aramex Express+SNS'!H10</f>
        <v>48407.881802437754</v>
      </c>
      <c r="E56" s="122">
        <f>'Aramex Domestic'!H10</f>
        <v>25259.08199836711</v>
      </c>
      <c r="F56" s="122">
        <f>'Aramex Freight'!H9</f>
        <v>14173.410931479622</v>
      </c>
      <c r="G56" s="122">
        <f>'Aramex Logistics'!H9</f>
        <v>3586.3676409036379</v>
      </c>
      <c r="H56" s="122">
        <f>8326.98518949769*('2023 IR Data Book'!$A$5)</f>
        <v>2267.3270134231034</v>
      </c>
      <c r="I56" s="122">
        <f>C56+F56+G56+H56</f>
        <v>93693.861968694226</v>
      </c>
      <c r="J56" s="211">
        <f t="shared" ref="J56:J57" si="38">C56-D56-E56</f>
        <v>-0.20741791700129397</v>
      </c>
    </row>
    <row r="57" spans="2:18" x14ac:dyDescent="0.2">
      <c r="B57" s="61" t="s">
        <v>178</v>
      </c>
      <c r="C57" s="158">
        <f>C56/C55</f>
        <v>0.28916593270185376</v>
      </c>
      <c r="D57" s="158">
        <f t="shared" ref="D57:E57" si="39">D56/D55</f>
        <v>0.31805023457272419</v>
      </c>
      <c r="E57" s="158">
        <f t="shared" si="39"/>
        <v>0.24629981165578677</v>
      </c>
      <c r="F57" s="158">
        <f t="shared" ref="F57:I57" si="40">F56/F55</f>
        <v>0.13308340976887653</v>
      </c>
      <c r="G57" s="158">
        <f t="shared" si="40"/>
        <v>0.11749041781759431</v>
      </c>
      <c r="H57" s="158">
        <f t="shared" si="40"/>
        <v>0.82634612953154296</v>
      </c>
      <c r="I57" s="159">
        <f t="shared" si="40"/>
        <v>0.23748536996774094</v>
      </c>
      <c r="J57" s="211">
        <f t="shared" si="38"/>
        <v>-0.27518411352665717</v>
      </c>
    </row>
    <row r="58" spans="2:18" x14ac:dyDescent="0.2">
      <c r="B58" s="61" t="s">
        <v>224</v>
      </c>
      <c r="C58" s="122">
        <f>'Aramex Courier'!H13</f>
        <v>13947.030447567116</v>
      </c>
      <c r="D58" s="122"/>
      <c r="E58" s="122"/>
      <c r="F58" s="122">
        <f>'Aramex Freight'!H12</f>
        <v>4022.4764291354622</v>
      </c>
      <c r="G58" s="122">
        <f>'Aramex Logistics'!H12</f>
        <v>1577.1532746531939</v>
      </c>
      <c r="H58" s="122">
        <f>3217.0725461928*('2023 IR Data Book'!$A$5)</f>
        <v>875.96594951609211</v>
      </c>
      <c r="I58" s="122">
        <f>C58+F58+G58+H58</f>
        <v>20422.626100871868</v>
      </c>
      <c r="J58" s="211"/>
    </row>
    <row r="59" spans="2:18" x14ac:dyDescent="0.2">
      <c r="B59" s="61" t="s">
        <v>181</v>
      </c>
      <c r="C59" s="158">
        <f>C58/C55</f>
        <v>5.4746622028939089E-2</v>
      </c>
      <c r="D59" s="158"/>
      <c r="E59" s="158"/>
      <c r="F59" s="158">
        <f t="shared" ref="F59:I59" si="41">F58/F55</f>
        <v>3.7769657670427621E-2</v>
      </c>
      <c r="G59" s="158">
        <f t="shared" si="41"/>
        <v>5.1667987154462969E-2</v>
      </c>
      <c r="H59" s="158">
        <f t="shared" si="41"/>
        <v>0.31925305335255078</v>
      </c>
      <c r="I59" s="159">
        <f t="shared" si="41"/>
        <v>5.1765129682656758E-2</v>
      </c>
      <c r="J59" s="211"/>
    </row>
    <row r="60" spans="2:18" x14ac:dyDescent="0.2">
      <c r="B60" s="61" t="s">
        <v>182</v>
      </c>
      <c r="C60" s="157">
        <f>'Aramex Courier'!H15</f>
        <v>30968.436576628548</v>
      </c>
      <c r="D60" s="157"/>
      <c r="E60" s="157"/>
      <c r="F60" s="157">
        <f>'Aramex Freight'!H14</f>
        <v>5897.496353595001</v>
      </c>
      <c r="G60" s="157">
        <f>'Aramex Logistics'!H14</f>
        <v>7831.5098127559768</v>
      </c>
      <c r="H60" s="157">
        <f>4514.08635286607*('2023 IR Data Book'!$A$5)</f>
        <v>1229.1255113178865</v>
      </c>
      <c r="I60" s="122">
        <f>C60+F60+G60+H60</f>
        <v>45926.56825429741</v>
      </c>
      <c r="J60" s="211"/>
    </row>
    <row r="61" spans="2:18" x14ac:dyDescent="0.2">
      <c r="B61" s="123" t="s">
        <v>183</v>
      </c>
      <c r="C61" s="160">
        <f>C60/C55</f>
        <v>0.12156116661978032</v>
      </c>
      <c r="D61" s="160"/>
      <c r="E61" s="160"/>
      <c r="F61" s="160">
        <f t="shared" ref="F61:I61" si="42">F60/F55</f>
        <v>5.537544403603939E-2</v>
      </c>
      <c r="G61" s="160">
        <f t="shared" si="42"/>
        <v>0.25656247551114136</v>
      </c>
      <c r="H61" s="160">
        <f t="shared" si="42"/>
        <v>0.44796498386555356</v>
      </c>
      <c r="I61" s="160">
        <f t="shared" si="42"/>
        <v>0.11640984610992797</v>
      </c>
      <c r="J61" s="211"/>
    </row>
    <row r="65" spans="2:12" x14ac:dyDescent="0.2">
      <c r="B65" s="120"/>
      <c r="C65" s="264" t="s">
        <v>26</v>
      </c>
      <c r="D65" s="264"/>
      <c r="E65" s="264"/>
      <c r="F65" s="264"/>
      <c r="G65" s="264"/>
      <c r="H65" s="264"/>
      <c r="I65" s="264"/>
    </row>
    <row r="66" spans="2:12" x14ac:dyDescent="0.2">
      <c r="B66" s="120"/>
      <c r="C66" s="132" t="s">
        <v>219</v>
      </c>
      <c r="D66" s="132" t="s">
        <v>269</v>
      </c>
      <c r="E66" s="132" t="s">
        <v>206</v>
      </c>
      <c r="F66" s="132" t="s">
        <v>220</v>
      </c>
      <c r="G66" s="132" t="s">
        <v>221</v>
      </c>
      <c r="H66" s="132" t="s">
        <v>222</v>
      </c>
      <c r="I66" s="132" t="s">
        <v>215</v>
      </c>
      <c r="L66" s="28"/>
    </row>
    <row r="67" spans="2:12" x14ac:dyDescent="0.2">
      <c r="B67" s="59" t="s">
        <v>223</v>
      </c>
      <c r="C67" s="121">
        <f>'Aramex Courier'!I7</f>
        <v>261647.4102343944</v>
      </c>
      <c r="D67" s="121">
        <f>'Aramex Express+SNS'!I7</f>
        <v>160222.25547525755</v>
      </c>
      <c r="E67" s="121">
        <f>'Aramex Domestic'!I7</f>
        <v>101425.15475913658</v>
      </c>
      <c r="F67" s="121">
        <f>'Aramex Freight'!I7</f>
        <v>117739.49237633991</v>
      </c>
      <c r="G67" s="121">
        <f>'Aramex Logistics'!I7</f>
        <v>30429.710337881879</v>
      </c>
      <c r="H67" s="121">
        <f>11496.2580635688*('2023 IR Data Book'!$A$5)</f>
        <v>3130.2777497056031</v>
      </c>
      <c r="I67" s="121">
        <f>C67+F67+G67+H67</f>
        <v>412946.8906983218</v>
      </c>
      <c r="J67" s="211">
        <f>C67-D67-E67</f>
        <v>2.6193447411060333E-10</v>
      </c>
    </row>
    <row r="68" spans="2:12" x14ac:dyDescent="0.2">
      <c r="B68" s="60" t="s">
        <v>177</v>
      </c>
      <c r="C68" s="122">
        <f>'Aramex Courier'!I10</f>
        <v>76986.030846258742</v>
      </c>
      <c r="D68" s="122">
        <f>'Aramex Express+SNS'!I10</f>
        <v>51654.978987421695</v>
      </c>
      <c r="E68" s="122">
        <f>'Aramex Domestic'!I10</f>
        <v>25331.051858836523</v>
      </c>
      <c r="F68" s="122">
        <f>'Aramex Freight'!I9</f>
        <v>15765.569633008228</v>
      </c>
      <c r="G68" s="122">
        <f>'Aramex Logistics'!I9</f>
        <v>7745.068542489571</v>
      </c>
      <c r="H68" s="122">
        <f>9538.70904976758*('2023 IR Data Book'!$A$5)</f>
        <v>2597.2632602972226</v>
      </c>
      <c r="I68" s="122">
        <f>C68+F68+G68+H68</f>
        <v>103093.93228205375</v>
      </c>
      <c r="J68" s="211">
        <f t="shared" ref="J68:J69" si="43">C68-D68-E68</f>
        <v>5.2386894822120667E-10</v>
      </c>
    </row>
    <row r="69" spans="2:12" x14ac:dyDescent="0.2">
      <c r="B69" s="61" t="s">
        <v>178</v>
      </c>
      <c r="C69" s="158">
        <f>C68/C67</f>
        <v>0.29423578386383231</v>
      </c>
      <c r="D69" s="158">
        <f t="shared" ref="D69:E69" si="44">D68/D67</f>
        <v>0.32239577975107558</v>
      </c>
      <c r="E69" s="158">
        <f t="shared" si="44"/>
        <v>0.24975117779206199</v>
      </c>
      <c r="F69" s="158">
        <f t="shared" ref="F69" si="45">F68/F67</f>
        <v>0.13390213695346595</v>
      </c>
      <c r="G69" s="158">
        <f t="shared" ref="G69" si="46">G68/G67</f>
        <v>0.25452324246569485</v>
      </c>
      <c r="H69" s="158">
        <f t="shared" ref="H69:I69" si="47">H68/H67</f>
        <v>0.8297229408928618</v>
      </c>
      <c r="I69" s="159">
        <f t="shared" si="47"/>
        <v>0.24965421608506305</v>
      </c>
      <c r="J69" s="211">
        <f t="shared" si="43"/>
        <v>-0.27791117367930529</v>
      </c>
    </row>
    <row r="70" spans="2:12" x14ac:dyDescent="0.2">
      <c r="B70" s="61" t="s">
        <v>224</v>
      </c>
      <c r="C70" s="122">
        <f>'Aramex Courier'!I13</f>
        <v>11060.689035005471</v>
      </c>
      <c r="D70" s="122"/>
      <c r="E70" s="122"/>
      <c r="F70" s="122">
        <f>'Aramex Freight'!I12</f>
        <v>4679.7257794804218</v>
      </c>
      <c r="G70" s="122">
        <f>'Aramex Logistics'!I12</f>
        <v>1410.4022335018676</v>
      </c>
      <c r="H70" s="122">
        <f>585.358921985922*('2023 IR Data Book'!$A$5)</f>
        <v>159.38542775851496</v>
      </c>
      <c r="I70" s="122">
        <f>C70+F70+G70+H70</f>
        <v>17310.202475746275</v>
      </c>
      <c r="J70" s="211"/>
    </row>
    <row r="71" spans="2:12" x14ac:dyDescent="0.2">
      <c r="B71" s="61" t="s">
        <v>181</v>
      </c>
      <c r="C71" s="158">
        <f>C70/C67</f>
        <v>4.2273260129335334E-2</v>
      </c>
      <c r="D71" s="158"/>
      <c r="E71" s="158"/>
      <c r="F71" s="158">
        <f t="shared" ref="F71" si="48">F70/F67</f>
        <v>3.9746440935232247E-2</v>
      </c>
      <c r="G71" s="158">
        <f t="shared" ref="G71" si="49">G70/G67</f>
        <v>4.634951229706781E-2</v>
      </c>
      <c r="H71" s="158">
        <f t="shared" ref="H71:I71" si="50">H70/H67</f>
        <v>5.0917343604255205E-2</v>
      </c>
      <c r="I71" s="159">
        <f t="shared" si="50"/>
        <v>4.1918713678830523E-2</v>
      </c>
      <c r="J71" s="211"/>
    </row>
    <row r="72" spans="2:12" x14ac:dyDescent="0.2">
      <c r="B72" s="61" t="s">
        <v>182</v>
      </c>
      <c r="C72" s="157">
        <f>'Aramex Courier'!I15</f>
        <v>27790.901241831125</v>
      </c>
      <c r="D72" s="157"/>
      <c r="E72" s="157"/>
      <c r="F72" s="157">
        <f>'Aramex Freight'!I14</f>
        <v>6730.2665151346446</v>
      </c>
      <c r="G72" s="157">
        <f>'Aramex Logistics'!I14</f>
        <v>7345.0522191845284</v>
      </c>
      <c r="H72" s="157">
        <f>1777.07850807516*('2023 IR Data Book'!$A$5)</f>
        <v>483.87477756226104</v>
      </c>
      <c r="I72" s="122">
        <f>C72+F72+G72+H72</f>
        <v>42350.094753712561</v>
      </c>
      <c r="J72" s="211"/>
    </row>
    <row r="73" spans="2:12" x14ac:dyDescent="0.2">
      <c r="B73" s="123" t="s">
        <v>183</v>
      </c>
      <c r="C73" s="160">
        <f>C72/C67</f>
        <v>0.1062150824154342</v>
      </c>
      <c r="D73" s="160"/>
      <c r="E73" s="160"/>
      <c r="F73" s="160">
        <f t="shared" ref="F73" si="51">F72/F67</f>
        <v>5.7162353763358938E-2</v>
      </c>
      <c r="G73" s="160">
        <f t="shared" ref="G73" si="52">G72/G67</f>
        <v>0.24137765813829287</v>
      </c>
      <c r="H73" s="160">
        <f t="shared" ref="H73:I73" si="53">H72/H67</f>
        <v>0.15457886368318868</v>
      </c>
      <c r="I73" s="160">
        <f t="shared" si="53"/>
        <v>0.10255579036349109</v>
      </c>
      <c r="J73" s="211"/>
    </row>
    <row r="77" spans="2:12" x14ac:dyDescent="0.2">
      <c r="B77" s="120"/>
      <c r="C77" s="264" t="s">
        <v>260</v>
      </c>
      <c r="D77" s="264"/>
      <c r="E77" s="264"/>
      <c r="F77" s="264"/>
      <c r="G77" s="264"/>
      <c r="H77" s="264"/>
      <c r="I77" s="264"/>
    </row>
    <row r="78" spans="2:12" x14ac:dyDescent="0.2">
      <c r="B78" s="120"/>
      <c r="C78" s="132" t="s">
        <v>219</v>
      </c>
      <c r="D78" s="132" t="s">
        <v>269</v>
      </c>
      <c r="E78" s="132" t="s">
        <v>206</v>
      </c>
      <c r="F78" s="132" t="s">
        <v>220</v>
      </c>
      <c r="G78" s="132" t="s">
        <v>221</v>
      </c>
      <c r="H78" s="132" t="s">
        <v>222</v>
      </c>
      <c r="I78" s="132" t="s">
        <v>215</v>
      </c>
    </row>
    <row r="79" spans="2:12" x14ac:dyDescent="0.2">
      <c r="B79" s="59" t="s">
        <v>223</v>
      </c>
      <c r="C79" s="121">
        <f>'Aramex Courier'!J7</f>
        <v>235186.8434006428</v>
      </c>
      <c r="D79" s="121">
        <f>'Aramex Express+SNS'!J7</f>
        <v>134489.68551409029</v>
      </c>
      <c r="E79" s="121">
        <f>'Aramex Domestic'!J7</f>
        <v>100696.95046863565</v>
      </c>
      <c r="F79" s="121">
        <f>'Aramex Freight'!J7</f>
        <v>119678.13903452294</v>
      </c>
      <c r="G79" s="121">
        <f>'Aramex Logistics'!J7</f>
        <v>30080.736786024889</v>
      </c>
      <c r="H79" s="121">
        <f>(-36789.3525840966+49288.2873002326)*(('2023 IR Data Book'!$A$5))</f>
        <v>3403.2932299014315</v>
      </c>
      <c r="I79" s="121">
        <f>C79+F79+G79+H79</f>
        <v>388349.01245109201</v>
      </c>
      <c r="J79" s="211">
        <f>C79-D79-E79</f>
        <v>0.20741791685577482</v>
      </c>
      <c r="K79" s="28"/>
    </row>
    <row r="80" spans="2:12" x14ac:dyDescent="0.2">
      <c r="B80" s="60" t="s">
        <v>177</v>
      </c>
      <c r="C80" s="122">
        <f>'Aramex Courier'!J10</f>
        <v>65550.871338614874</v>
      </c>
      <c r="D80" s="122">
        <f>'Aramex Express+SNS'!J10</f>
        <v>41343.722303339033</v>
      </c>
      <c r="E80" s="122">
        <f>'Aramex Domestic'!J10</f>
        <v>24206.944837359159</v>
      </c>
      <c r="F80" s="122">
        <f>'Aramex Freight'!J9</f>
        <v>16550.216060702165</v>
      </c>
      <c r="G80" s="122">
        <f>'Aramex Logistics'!J9</f>
        <v>2370.7371807549607</v>
      </c>
      <c r="H80" s="122">
        <f>(-18434.7593072861--29030.7812005074)*(('2023 IR Data Book'!$A$5))</f>
        <v>2885.1554466103858</v>
      </c>
      <c r="I80" s="122">
        <f>C80+F80+G80+H80</f>
        <v>87356.980026682388</v>
      </c>
      <c r="J80" s="211">
        <f t="shared" ref="J80:J81" si="54">C80-D80-E80</f>
        <v>0.20419791668246035</v>
      </c>
      <c r="K80" s="28"/>
    </row>
    <row r="81" spans="2:17" x14ac:dyDescent="0.2">
      <c r="B81" s="61" t="s">
        <v>178</v>
      </c>
      <c r="C81" s="158">
        <f>C80/C79</f>
        <v>0.27871827518407738</v>
      </c>
      <c r="D81" s="158">
        <f t="shared" ref="D81:E81" si="55">D80/D79</f>
        <v>0.30741184459835408</v>
      </c>
      <c r="E81" s="158">
        <f t="shared" si="55"/>
        <v>0.24039402111684563</v>
      </c>
      <c r="F81" s="158">
        <f t="shared" ref="F81:I81" si="56">F80/F79</f>
        <v>0.13828938345981473</v>
      </c>
      <c r="G81" s="158">
        <f t="shared" si="56"/>
        <v>7.8812470506253479E-2</v>
      </c>
      <c r="H81" s="158">
        <f t="shared" si="56"/>
        <v>0.84775399935019635</v>
      </c>
      <c r="I81" s="159">
        <f t="shared" si="56"/>
        <v>0.22494451440811625</v>
      </c>
      <c r="J81" s="211">
        <f t="shared" si="54"/>
        <v>-0.2690875905311223</v>
      </c>
      <c r="K81" s="28"/>
    </row>
    <row r="82" spans="2:17" x14ac:dyDescent="0.2">
      <c r="B82" s="61" t="s">
        <v>224</v>
      </c>
      <c r="C82" s="122">
        <f>'Aramex Courier'!J13</f>
        <v>5679.6618844387722</v>
      </c>
      <c r="D82" s="122"/>
      <c r="E82" s="122"/>
      <c r="F82" s="122">
        <f>'Aramex Freight'!J12</f>
        <v>6417.0752914594959</v>
      </c>
      <c r="G82" s="122">
        <f>'Aramex Logistics'!J12</f>
        <v>-1664.9203265532815</v>
      </c>
      <c r="H82" s="122">
        <f>(13315.9612230839-723.780866769583)*(('2023 IR Data Book'!$A$5))</f>
        <v>3428.6827741421107</v>
      </c>
      <c r="I82" s="122">
        <f>C82+F82+G82+H82</f>
        <v>13860.499623487098</v>
      </c>
      <c r="J82" s="211"/>
      <c r="K82" s="28"/>
      <c r="L82" s="89"/>
    </row>
    <row r="83" spans="2:17" x14ac:dyDescent="0.2">
      <c r="B83" s="61" t="s">
        <v>181</v>
      </c>
      <c r="C83" s="158">
        <f>C82/C79</f>
        <v>2.4149573174735033E-2</v>
      </c>
      <c r="D83" s="158"/>
      <c r="E83" s="158"/>
      <c r="F83" s="158">
        <f t="shared" ref="F83:I83" si="57">F82/F79</f>
        <v>5.3619444146005606E-2</v>
      </c>
      <c r="G83" s="158">
        <f t="shared" si="57"/>
        <v>-5.5348389183298909E-2</v>
      </c>
      <c r="H83" s="158">
        <f t="shared" si="57"/>
        <v>1.0074602870001343</v>
      </c>
      <c r="I83" s="159">
        <f t="shared" si="57"/>
        <v>3.5690832676528728E-2</v>
      </c>
      <c r="J83" s="211"/>
      <c r="K83" s="28"/>
      <c r="L83" s="89"/>
    </row>
    <row r="84" spans="2:17" x14ac:dyDescent="0.2">
      <c r="B84" s="61" t="s">
        <v>182</v>
      </c>
      <c r="C84" s="157">
        <f>'Aramex Courier'!J15</f>
        <v>22882.887992027227</v>
      </c>
      <c r="D84" s="157"/>
      <c r="E84" s="157"/>
      <c r="F84" s="157">
        <f>'Aramex Freight'!J14</f>
        <v>8521.1249021683379</v>
      </c>
      <c r="G84" s="157">
        <f>'Aramex Logistics'!J14</f>
        <v>4105.4983943098587</v>
      </c>
      <c r="H84" s="157">
        <f>(5420.97088348717--5521.02950752155)*(('2023 IR Data Book'!$A$5))</f>
        <v>2979.360777380798</v>
      </c>
      <c r="I84" s="122">
        <f>C84+F84+G84+H84</f>
        <v>38488.872065886215</v>
      </c>
      <c r="J84" s="211"/>
      <c r="K84" s="28"/>
      <c r="L84" s="89"/>
    </row>
    <row r="85" spans="2:17" x14ac:dyDescent="0.2">
      <c r="B85" s="123" t="s">
        <v>183</v>
      </c>
      <c r="C85" s="160">
        <f>C84/C79</f>
        <v>9.7296633013803549E-2</v>
      </c>
      <c r="D85" s="160"/>
      <c r="E85" s="160"/>
      <c r="F85" s="160">
        <f t="shared" ref="F85:I85" si="58">F84/F79</f>
        <v>7.1200345952156657E-2</v>
      </c>
      <c r="G85" s="160">
        <f t="shared" si="58"/>
        <v>0.1364826408180673</v>
      </c>
      <c r="H85" s="160">
        <f t="shared" si="58"/>
        <v>0.87543463819222189</v>
      </c>
      <c r="I85" s="160">
        <f t="shared" si="58"/>
        <v>9.9108973711458673E-2</v>
      </c>
      <c r="J85" s="211"/>
      <c r="K85" s="28"/>
    </row>
    <row r="87" spans="2:17" x14ac:dyDescent="0.2">
      <c r="C87" s="89"/>
      <c r="D87" s="89"/>
      <c r="E87" s="89"/>
      <c r="F87" s="89"/>
      <c r="G87" s="89"/>
      <c r="H87" s="89"/>
    </row>
    <row r="88" spans="2:17" x14ac:dyDescent="0.2">
      <c r="C88" s="89"/>
      <c r="D88" s="89"/>
      <c r="E88" s="89"/>
      <c r="F88" s="89"/>
      <c r="G88" s="89"/>
      <c r="H88" s="89"/>
    </row>
    <row r="89" spans="2:17" x14ac:dyDescent="0.2">
      <c r="B89" s="120"/>
      <c r="C89" s="264" t="s">
        <v>279</v>
      </c>
      <c r="D89" s="264"/>
      <c r="E89" s="264"/>
      <c r="F89" s="264"/>
      <c r="G89" s="264"/>
      <c r="H89" s="264"/>
      <c r="I89" s="264"/>
    </row>
    <row r="90" spans="2:17" x14ac:dyDescent="0.2">
      <c r="B90" s="120"/>
      <c r="C90" s="132" t="s">
        <v>219</v>
      </c>
      <c r="D90" s="132" t="s">
        <v>269</v>
      </c>
      <c r="E90" s="132" t="s">
        <v>206</v>
      </c>
      <c r="F90" s="132" t="s">
        <v>220</v>
      </c>
      <c r="G90" s="132" t="s">
        <v>221</v>
      </c>
      <c r="H90" s="132" t="s">
        <v>222</v>
      </c>
      <c r="I90" s="132" t="s">
        <v>215</v>
      </c>
    </row>
    <row r="91" spans="2:17" x14ac:dyDescent="0.2">
      <c r="B91" s="59" t="s">
        <v>223</v>
      </c>
      <c r="C91" s="121">
        <f>'Aramex Courier'!K7</f>
        <v>269506.69826681534</v>
      </c>
      <c r="D91" s="121">
        <f>'Aramex Express+SNS'!K7</f>
        <v>165427.47030159368</v>
      </c>
      <c r="E91" s="121">
        <f>'Aramex Domestic'!K7</f>
        <v>104079.22796522164</v>
      </c>
      <c r="F91" s="121">
        <f>'Aramex Freight'!K7</f>
        <v>114715.16216186162</v>
      </c>
      <c r="G91" s="121">
        <f>'Aramex Logistics'!K7</f>
        <v>30212.502956374774</v>
      </c>
      <c r="H91" s="121">
        <f>12182.2109990966*(('2023 IR Data Book'!$A$5))</f>
        <v>3317.0535857693731</v>
      </c>
      <c r="I91" s="121">
        <f>C91+F91+G91+H91</f>
        <v>417751.4169708211</v>
      </c>
      <c r="J91" s="211">
        <f>C91-D91-E91</f>
        <v>0</v>
      </c>
      <c r="K91" s="28"/>
      <c r="L91" s="28"/>
      <c r="M91" s="28"/>
      <c r="N91" s="28"/>
      <c r="O91" s="28"/>
      <c r="P91" s="28"/>
      <c r="Q91" s="28"/>
    </row>
    <row r="92" spans="2:17" x14ac:dyDescent="0.2">
      <c r="B92" s="60" t="s">
        <v>177</v>
      </c>
      <c r="C92" s="122">
        <f>'Aramex Courier'!K10</f>
        <v>79396.454456292529</v>
      </c>
      <c r="D92" s="122">
        <f>'Aramex Express+SNS'!K10</f>
        <v>52823.372902745468</v>
      </c>
      <c r="E92" s="122">
        <f>'Aramex Domestic'!K10</f>
        <v>26573.081553547076</v>
      </c>
      <c r="F92" s="122">
        <f>'Aramex Freight'!K9</f>
        <v>16871.10952902821</v>
      </c>
      <c r="G92" s="122">
        <f>'Aramex Logistics'!K9</f>
        <v>4546.1470622617235</v>
      </c>
      <c r="H92" s="122">
        <f>10505.6098040025*(('2023 IR Data Book'!$A$5))</f>
        <v>2860.5374405060447</v>
      </c>
      <c r="I92" s="122">
        <f>C92+F92+G92+H92</f>
        <v>103674.2484880885</v>
      </c>
      <c r="J92" s="211">
        <f t="shared" ref="J92:J93" si="59">C92-D92-E92</f>
        <v>0</v>
      </c>
      <c r="K92" s="28"/>
      <c r="L92" s="28"/>
      <c r="M92" s="28"/>
      <c r="N92" s="28"/>
      <c r="O92" s="28"/>
      <c r="P92" s="28"/>
      <c r="Q92" s="28"/>
    </row>
    <row r="93" spans="2:17" x14ac:dyDescent="0.2">
      <c r="B93" s="61" t="s">
        <v>178</v>
      </c>
      <c r="C93" s="158">
        <f>C92/C91</f>
        <v>0.29459918794926926</v>
      </c>
      <c r="D93" s="158">
        <f t="shared" ref="D93:I93" si="60">D92/D91</f>
        <v>0.31931439685586838</v>
      </c>
      <c r="E93" s="158">
        <f t="shared" si="60"/>
        <v>0.25531589802363391</v>
      </c>
      <c r="F93" s="158">
        <f t="shared" si="60"/>
        <v>0.14706956962867115</v>
      </c>
      <c r="G93" s="158">
        <f t="shared" si="60"/>
        <v>0.15047237459359508</v>
      </c>
      <c r="H93" s="158">
        <f t="shared" si="60"/>
        <v>0.8623729965587994</v>
      </c>
      <c r="I93" s="159">
        <f t="shared" si="60"/>
        <v>0.24817210493227337</v>
      </c>
      <c r="J93" s="211">
        <f t="shared" si="59"/>
        <v>-0.28003110693023303</v>
      </c>
    </row>
    <row r="94" spans="2:17" x14ac:dyDescent="0.2">
      <c r="B94" s="61" t="s">
        <v>224</v>
      </c>
      <c r="C94" s="122">
        <f>'Aramex Courier'!K13</f>
        <v>8632.9177334035012</v>
      </c>
      <c r="D94" s="122"/>
      <c r="E94" s="122"/>
      <c r="F94" s="122">
        <f>'Aramex Freight'!K12</f>
        <v>4448.8632648344219</v>
      </c>
      <c r="G94" s="122">
        <f>'Aramex Logistics'!K12</f>
        <v>645.44825456374497</v>
      </c>
      <c r="H94" s="122">
        <f>(5434.96031399955)*(('2023 IR Data Book'!$A$5))</f>
        <v>1479.8672096061507</v>
      </c>
      <c r="I94" s="122">
        <f>C94+F94+G94+H94</f>
        <v>15207.096462407819</v>
      </c>
      <c r="K94" s="28"/>
      <c r="L94" s="28"/>
      <c r="M94" s="28"/>
      <c r="N94" s="28"/>
      <c r="O94" s="28"/>
      <c r="P94" s="28"/>
      <c r="Q94" s="28"/>
    </row>
    <row r="95" spans="2:17" x14ac:dyDescent="0.2">
      <c r="B95" s="61" t="s">
        <v>181</v>
      </c>
      <c r="C95" s="158">
        <f>C94/C91</f>
        <v>3.2032293775707175E-2</v>
      </c>
      <c r="D95" s="158"/>
      <c r="E95" s="158"/>
      <c r="F95" s="158">
        <f t="shared" ref="F95:I95" si="61">F94/F91</f>
        <v>3.8781824311568625E-2</v>
      </c>
      <c r="G95" s="158">
        <f t="shared" si="61"/>
        <v>2.1363614113525699E-2</v>
      </c>
      <c r="H95" s="158">
        <f t="shared" si="61"/>
        <v>0.44613907232460442</v>
      </c>
      <c r="I95" s="159">
        <f t="shared" si="61"/>
        <v>3.6402261834745604E-2</v>
      </c>
    </row>
    <row r="96" spans="2:17" x14ac:dyDescent="0.2">
      <c r="B96" s="61" t="s">
        <v>182</v>
      </c>
      <c r="C96" s="157">
        <f>'Aramex Courier'!K15</f>
        <v>25757.19813417859</v>
      </c>
      <c r="D96" s="157"/>
      <c r="E96" s="157"/>
      <c r="F96" s="157">
        <f>'Aramex Freight'!K14</f>
        <v>6384.4188685878125</v>
      </c>
      <c r="G96" s="157">
        <f>'Aramex Logistics'!K14</f>
        <v>6641.6317632049222</v>
      </c>
      <c r="H96" s="157">
        <f>(6010.4246353474)*(('2023 IR Data Book'!$A$5))</f>
        <v>1636.5584695712573</v>
      </c>
      <c r="I96" s="122">
        <f>C96+F96+G96+H96</f>
        <v>40419.80723554259</v>
      </c>
      <c r="K96" s="28"/>
      <c r="L96" s="28"/>
      <c r="M96" s="28"/>
      <c r="N96" s="28"/>
      <c r="O96" s="28"/>
      <c r="P96" s="28"/>
      <c r="Q96" s="28"/>
    </row>
    <row r="97" spans="2:11" x14ac:dyDescent="0.2">
      <c r="B97" s="123" t="s">
        <v>183</v>
      </c>
      <c r="C97" s="160">
        <f>C96/C91</f>
        <v>9.5571643672761747E-2</v>
      </c>
      <c r="D97" s="160"/>
      <c r="E97" s="160"/>
      <c r="F97" s="160">
        <f t="shared" ref="F97:I97" si="62">F96/F91</f>
        <v>5.5654533788475839E-2</v>
      </c>
      <c r="G97" s="160">
        <f t="shared" si="62"/>
        <v>0.21983057056858482</v>
      </c>
      <c r="H97" s="160">
        <f t="shared" si="62"/>
        <v>0.49337715754497413</v>
      </c>
      <c r="I97" s="160">
        <f t="shared" si="62"/>
        <v>9.6755643651989853E-2</v>
      </c>
    </row>
    <row r="101" spans="2:11" x14ac:dyDescent="0.2">
      <c r="B101" s="120"/>
      <c r="C101" s="264" t="s">
        <v>286</v>
      </c>
      <c r="D101" s="264"/>
      <c r="E101" s="264"/>
      <c r="F101" s="264"/>
      <c r="G101" s="264"/>
      <c r="H101" s="264"/>
      <c r="I101" s="264"/>
    </row>
    <row r="102" spans="2:11" x14ac:dyDescent="0.2">
      <c r="B102" s="120"/>
      <c r="C102" s="132" t="s">
        <v>219</v>
      </c>
      <c r="D102" s="132" t="s">
        <v>269</v>
      </c>
      <c r="E102" s="132" t="s">
        <v>206</v>
      </c>
      <c r="F102" s="132" t="s">
        <v>220</v>
      </c>
      <c r="G102" s="132" t="s">
        <v>221</v>
      </c>
      <c r="H102" s="132" t="s">
        <v>222</v>
      </c>
      <c r="I102" s="132" t="s">
        <v>215</v>
      </c>
    </row>
    <row r="103" spans="2:11" x14ac:dyDescent="0.2">
      <c r="B103" s="59" t="s">
        <v>223</v>
      </c>
      <c r="C103" s="121">
        <f>'Aramex Courier'!$M$7</f>
        <v>252745.49928826661</v>
      </c>
      <c r="D103" s="121">
        <f>'Aramex Express+SNS'!M7</f>
        <v>154272.42826484697</v>
      </c>
      <c r="E103" s="121">
        <f>'Aramex Domestic'!$M$7</f>
        <v>98473.071023419645</v>
      </c>
      <c r="F103" s="121">
        <f>'Aramex Freight'!M7</f>
        <v>104948.10197270407</v>
      </c>
      <c r="G103" s="121">
        <f>'Aramex Logistics'!$M$7</f>
        <v>29146.626250633337</v>
      </c>
      <c r="H103" s="121">
        <f>(2937.12655020684*3.6726)*(('2023 IR Data Book'!$A$5))</f>
        <v>2937.12655020684</v>
      </c>
      <c r="I103" s="121">
        <f>C103+F103+G103+H103</f>
        <v>389777.35406181088</v>
      </c>
      <c r="J103" s="211">
        <f>C103-D103-E103</f>
        <v>0</v>
      </c>
      <c r="K103" s="28">
        <f>I103-'Group Profit &amp; Loss Stm'!M8</f>
        <v>8.455247146775946E-2</v>
      </c>
    </row>
    <row r="104" spans="2:11" x14ac:dyDescent="0.2">
      <c r="B104" s="60" t="s">
        <v>177</v>
      </c>
      <c r="C104" s="122">
        <f>'Aramex Courier'!$M$10</f>
        <v>73907.333756333654</v>
      </c>
      <c r="D104" s="122">
        <f>'Aramex Express+SNS'!$M$10</f>
        <v>50045.057552872619</v>
      </c>
      <c r="E104" s="122">
        <f>'Aramex Domestic'!$M$10</f>
        <v>23862.276213461024</v>
      </c>
      <c r="F104" s="122">
        <f>'Aramex Freight'!$M$9</f>
        <v>16650.603981870052</v>
      </c>
      <c r="G104" s="122">
        <f>'Aramex Logistics'!$M$9</f>
        <v>4411.7582863871103</v>
      </c>
      <c r="H104" s="122">
        <f>(2508.90493270667*3.6726)*(('2023 IR Data Book'!$A$5))</f>
        <v>2508.90493270667</v>
      </c>
      <c r="I104" s="122">
        <f>C104+F104+G104+H104</f>
        <v>97478.600957297487</v>
      </c>
      <c r="J104" s="211">
        <f t="shared" ref="J104:J105" si="63">C104-D104-E104</f>
        <v>-9.9999888334423304E-6</v>
      </c>
      <c r="K104" s="28">
        <f>I104-'Group Profit &amp; Loss Stm'!M10</f>
        <v>-2.4539625679608434E-2</v>
      </c>
    </row>
    <row r="105" spans="2:11" x14ac:dyDescent="0.2">
      <c r="B105" s="61" t="s">
        <v>178</v>
      </c>
      <c r="C105" s="158">
        <f>C104/C103</f>
        <v>0.29241800136681884</v>
      </c>
      <c r="D105" s="158">
        <f t="shared" ref="D105:I105" si="64">D104/D103</f>
        <v>0.32439404834516405</v>
      </c>
      <c r="E105" s="158">
        <f t="shared" si="64"/>
        <v>0.24232286010239193</v>
      </c>
      <c r="F105" s="158">
        <f t="shared" si="64"/>
        <v>0.15865559899502235</v>
      </c>
      <c r="G105" s="158">
        <f t="shared" si="64"/>
        <v>0.15136428650267011</v>
      </c>
      <c r="H105" s="158">
        <f t="shared" si="64"/>
        <v>0.85420389275701669</v>
      </c>
      <c r="I105" s="159">
        <f t="shared" si="64"/>
        <v>0.25008790259743857</v>
      </c>
      <c r="J105" s="211">
        <f t="shared" si="63"/>
        <v>-0.27429890708073712</v>
      </c>
      <c r="K105" s="33"/>
    </row>
    <row r="106" spans="2:11" x14ac:dyDescent="0.2">
      <c r="B106" s="61" t="s">
        <v>224</v>
      </c>
      <c r="C106" s="122">
        <f>'Aramex Courier'!$M$13</f>
        <v>10293.751815302508</v>
      </c>
      <c r="D106" s="122"/>
      <c r="E106" s="122"/>
      <c r="F106" s="122">
        <f>'Aramex Freight'!$M$12</f>
        <v>5588.9915889393069</v>
      </c>
      <c r="G106" s="122">
        <f>'Aramex Logistics'!$M$12</f>
        <v>585.45702294560249</v>
      </c>
      <c r="H106" s="122">
        <f>(685.610760518868*3.6726)*(('2023 IR Data Book'!$A$5))</f>
        <v>685.61076051886789</v>
      </c>
      <c r="I106" s="122">
        <f>C106+F106+G106+H106</f>
        <v>17153.811187706284</v>
      </c>
      <c r="K106" s="28">
        <f>I106-'Group Profit &amp; Loss Stm'!M16</f>
        <v>-0.24860644501677598</v>
      </c>
    </row>
    <row r="107" spans="2:11" x14ac:dyDescent="0.2">
      <c r="B107" s="61" t="s">
        <v>181</v>
      </c>
      <c r="C107" s="158">
        <f>C106/C103</f>
        <v>4.0727735387137642E-2</v>
      </c>
      <c r="D107" s="158"/>
      <c r="E107" s="158"/>
      <c r="F107" s="158">
        <f t="shared" ref="F107:I107" si="65">F106/F103</f>
        <v>5.3254813416186854E-2</v>
      </c>
      <c r="G107" s="158">
        <f t="shared" si="65"/>
        <v>2.0086613727133544E-2</v>
      </c>
      <c r="H107" s="158">
        <f t="shared" si="65"/>
        <v>0.23342908410622806</v>
      </c>
      <c r="I107" s="159">
        <f t="shared" si="65"/>
        <v>4.4009255563333814E-2</v>
      </c>
      <c r="K107" s="33"/>
    </row>
    <row r="108" spans="2:11" x14ac:dyDescent="0.2">
      <c r="B108" s="61" t="s">
        <v>182</v>
      </c>
      <c r="C108" s="157">
        <f>'Aramex Courier'!$M$15</f>
        <v>26533.155718210506</v>
      </c>
      <c r="D108" s="157"/>
      <c r="E108" s="157"/>
      <c r="F108" s="157">
        <f>'Aramex Freight'!$M$14</f>
        <v>7535.8901070194688</v>
      </c>
      <c r="G108" s="157">
        <f>'Aramex Logistics'!$M$14</f>
        <v>6776.8075588260899</v>
      </c>
      <c r="H108" s="157">
        <f>(858.400410326417*3.6726)*(('2023 IR Data Book'!$A$5))</f>
        <v>858.40041032641705</v>
      </c>
      <c r="I108" s="122">
        <f>C108+F108+G108+H108</f>
        <v>41704.253794382479</v>
      </c>
      <c r="K108" s="28"/>
    </row>
    <row r="109" spans="2:11" x14ac:dyDescent="0.2">
      <c r="B109" s="123" t="s">
        <v>183</v>
      </c>
      <c r="C109" s="160">
        <f>C108/C103</f>
        <v>0.1049797357141001</v>
      </c>
      <c r="D109" s="160"/>
      <c r="E109" s="160"/>
      <c r="F109" s="160">
        <f t="shared" ref="F109:I109" si="66">F108/F103</f>
        <v>7.1805873239894111E-2</v>
      </c>
      <c r="G109" s="160">
        <f t="shared" si="66"/>
        <v>0.23250744359062259</v>
      </c>
      <c r="H109" s="160">
        <f t="shared" si="66"/>
        <v>0.29225857165261276</v>
      </c>
      <c r="I109" s="160">
        <f t="shared" si="66"/>
        <v>0.10699506618275473</v>
      </c>
      <c r="K109" s="33"/>
    </row>
    <row r="113" spans="2:11" x14ac:dyDescent="0.2">
      <c r="B113" s="120"/>
      <c r="C113" s="264" t="s">
        <v>300</v>
      </c>
      <c r="D113" s="264"/>
      <c r="E113" s="264"/>
      <c r="F113" s="264"/>
      <c r="G113" s="264"/>
      <c r="H113" s="264"/>
      <c r="I113" s="264"/>
    </row>
    <row r="114" spans="2:11" x14ac:dyDescent="0.2">
      <c r="B114" s="120"/>
      <c r="C114" s="132" t="s">
        <v>219</v>
      </c>
      <c r="D114" s="132" t="s">
        <v>269</v>
      </c>
      <c r="E114" s="132" t="s">
        <v>206</v>
      </c>
      <c r="F114" s="132" t="s">
        <v>220</v>
      </c>
      <c r="G114" s="132" t="s">
        <v>221</v>
      </c>
      <c r="H114" s="132" t="s">
        <v>222</v>
      </c>
      <c r="I114" s="132" t="s">
        <v>215</v>
      </c>
    </row>
    <row r="115" spans="2:11" x14ac:dyDescent="0.2">
      <c r="B115" s="59" t="s">
        <v>223</v>
      </c>
      <c r="C115" s="121">
        <f>'Aramex Courier'!$N$7</f>
        <v>248441.50182746988</v>
      </c>
      <c r="D115" s="121">
        <f>'Aramex Express+SNS'!N7</f>
        <v>152764.03205798916</v>
      </c>
      <c r="E115" s="121">
        <f>'Aramex Domestic'!$N$7</f>
        <v>95677.469769481017</v>
      </c>
      <c r="F115" s="121">
        <f>'Aramex Freight'!N7</f>
        <v>97644.56507997794</v>
      </c>
      <c r="G115" s="121">
        <f>'Aramex Logistics'!$N$7</f>
        <v>28921.344230288079</v>
      </c>
      <c r="H115" s="121">
        <f>(11587.0353635627)*(('2023 IR Data Book'!$A$5))</f>
        <v>3154.9951978333329</v>
      </c>
      <c r="I115" s="121">
        <f>C115+F115+G115+H115</f>
        <v>378162.40633556922</v>
      </c>
      <c r="J115" s="211">
        <f>C115-D115-E115</f>
        <v>-2.9103830456733704E-10</v>
      </c>
      <c r="K115" s="28">
        <f>I115-'Group Profit &amp; Loss Stm'!N8</f>
        <v>-1.5209487173706293E-5</v>
      </c>
    </row>
    <row r="116" spans="2:11" x14ac:dyDescent="0.2">
      <c r="B116" s="60" t="s">
        <v>177</v>
      </c>
      <c r="C116" s="122">
        <f>'Aramex Courier'!$N$10</f>
        <v>71588.328298993612</v>
      </c>
      <c r="D116" s="122">
        <f>'Aramex Express+SNS'!$N$10</f>
        <v>51278.198735714759</v>
      </c>
      <c r="E116" s="122">
        <f>'Aramex Domestic'!$N$10</f>
        <v>20310.129563279144</v>
      </c>
      <c r="F116" s="122">
        <f>'Aramex Freight'!$N$9</f>
        <v>15411.590172344659</v>
      </c>
      <c r="G116" s="122">
        <f>'Aramex Logistics'!$N$9</f>
        <v>4437.5761445618919</v>
      </c>
      <c r="H116" s="122">
        <f>(9732.6060737382)*(('2023 IR Data Book'!$A$5))</f>
        <v>2650.0588339972223</v>
      </c>
      <c r="I116" s="122">
        <f>C116+F116+G116+H116</f>
        <v>94087.553449897372</v>
      </c>
      <c r="J116" s="211">
        <f t="shared" ref="J116:J117" si="67">C116-D116-E116</f>
        <v>-2.9103830456733704E-10</v>
      </c>
      <c r="K116" s="28">
        <f>I116-'Group Profit &amp; Loss Stm'!N10</f>
        <v>4.9755180953070521E-6</v>
      </c>
    </row>
    <row r="117" spans="2:11" x14ac:dyDescent="0.2">
      <c r="B117" s="61" t="s">
        <v>178</v>
      </c>
      <c r="C117" s="158">
        <f>C116/C115</f>
        <v>0.28814963591996035</v>
      </c>
      <c r="D117" s="158">
        <f t="shared" ref="D117:I117" si="68">D116/D115</f>
        <v>0.33566931983210274</v>
      </c>
      <c r="E117" s="158">
        <f t="shared" si="68"/>
        <v>0.21227703462699243</v>
      </c>
      <c r="F117" s="158">
        <f t="shared" si="68"/>
        <v>0.15783356871651233</v>
      </c>
      <c r="G117" s="158">
        <f t="shared" si="68"/>
        <v>0.15343602666692821</v>
      </c>
      <c r="H117" s="158">
        <f t="shared" si="68"/>
        <v>0.83995653489968181</v>
      </c>
      <c r="I117" s="159">
        <f t="shared" si="68"/>
        <v>0.2488019746902263</v>
      </c>
      <c r="J117" s="211">
        <f t="shared" si="67"/>
        <v>-0.25979671853913483</v>
      </c>
      <c r="K117" s="33"/>
    </row>
    <row r="118" spans="2:11" x14ac:dyDescent="0.2">
      <c r="B118" s="61" t="s">
        <v>224</v>
      </c>
      <c r="C118" s="122">
        <f>'Aramex Courier'!$N$13</f>
        <v>8246.4800563334156</v>
      </c>
      <c r="D118" s="122"/>
      <c r="E118" s="122"/>
      <c r="F118" s="122">
        <f>'Aramex Freight'!$N$12</f>
        <v>4232.3487645176983</v>
      </c>
      <c r="G118" s="122">
        <f>'Aramex Logistics'!$N$12</f>
        <v>376.29503281071993</v>
      </c>
      <c r="H118" s="122">
        <f>(5549.87462995629)*(('2023 IR Data Book'!$A$5))</f>
        <v>1511.1568452748161</v>
      </c>
      <c r="I118" s="122">
        <f>C118+F118+G118+H118</f>
        <v>14366.280698936651</v>
      </c>
      <c r="K118" s="28">
        <f>I118-'Group Profit &amp; Loss Stm'!N16</f>
        <v>1.4565977669917629E-2</v>
      </c>
    </row>
    <row r="119" spans="2:11" x14ac:dyDescent="0.2">
      <c r="B119" s="61" t="s">
        <v>181</v>
      </c>
      <c r="C119" s="158">
        <f>C118/C115</f>
        <v>3.3192844173274165E-2</v>
      </c>
      <c r="D119" s="158"/>
      <c r="E119" s="158"/>
      <c r="F119" s="158">
        <f t="shared" ref="F119:I119" si="69">F118/F115</f>
        <v>4.3344437665845503E-2</v>
      </c>
      <c r="G119" s="158">
        <f t="shared" si="69"/>
        <v>1.3010980050389302E-2</v>
      </c>
      <c r="H119" s="158">
        <f t="shared" si="69"/>
        <v>0.47897278775973751</v>
      </c>
      <c r="I119" s="159">
        <f t="shared" si="69"/>
        <v>3.7989711452672728E-2</v>
      </c>
      <c r="K119" s="33"/>
    </row>
    <row r="120" spans="2:11" x14ac:dyDescent="0.2">
      <c r="B120" s="61" t="s">
        <v>182</v>
      </c>
      <c r="C120" s="157">
        <f>'Aramex Courier'!$N$15</f>
        <v>24927.673499108478</v>
      </c>
      <c r="D120" s="157"/>
      <c r="E120" s="157"/>
      <c r="F120" s="157">
        <f>'Aramex Freight'!$N$14</f>
        <v>6078.6696340620538</v>
      </c>
      <c r="G120" s="157">
        <f>'Aramex Logistics'!$N$14</f>
        <v>6472.0055820103462</v>
      </c>
      <c r="H120" s="157">
        <f>(5650.368148585)*(('2023 IR Data Book'!$A$5))</f>
        <v>1538.5198901554757</v>
      </c>
      <c r="I120" s="122">
        <f>C120+F120+G120+H120</f>
        <v>39016.868605336356</v>
      </c>
      <c r="K120" s="28"/>
    </row>
    <row r="121" spans="2:11" x14ac:dyDescent="0.2">
      <c r="B121" s="123" t="s">
        <v>183</v>
      </c>
      <c r="C121" s="160">
        <f>C120/C115</f>
        <v>0.10033618906562355</v>
      </c>
      <c r="D121" s="160"/>
      <c r="E121" s="160"/>
      <c r="F121" s="160">
        <f t="shared" ref="F121:I121" si="70">F120/F115</f>
        <v>6.2253025850268116E-2</v>
      </c>
      <c r="G121" s="160">
        <f t="shared" si="70"/>
        <v>0.22377955638840927</v>
      </c>
      <c r="H121" s="160">
        <f t="shared" si="70"/>
        <v>0.48764571534436618</v>
      </c>
      <c r="I121" s="160">
        <f t="shared" si="70"/>
        <v>0.10317490039111406</v>
      </c>
      <c r="K121" s="33"/>
    </row>
    <row r="125" spans="2:11" x14ac:dyDescent="0.2">
      <c r="B125" s="120"/>
      <c r="C125" s="264" t="s">
        <v>306</v>
      </c>
      <c r="D125" s="264"/>
      <c r="E125" s="264"/>
      <c r="F125" s="264"/>
      <c r="G125" s="264"/>
      <c r="H125" s="264"/>
      <c r="I125" s="264"/>
    </row>
    <row r="126" spans="2:11" x14ac:dyDescent="0.2">
      <c r="B126" s="120"/>
      <c r="C126" s="132" t="s">
        <v>219</v>
      </c>
      <c r="D126" s="132" t="s">
        <v>269</v>
      </c>
      <c r="E126" s="132" t="s">
        <v>206</v>
      </c>
      <c r="F126" s="132" t="s">
        <v>220</v>
      </c>
      <c r="G126" s="132" t="s">
        <v>221</v>
      </c>
      <c r="H126" s="132" t="s">
        <v>222</v>
      </c>
      <c r="I126" s="132" t="s">
        <v>215</v>
      </c>
    </row>
    <row r="127" spans="2:11" x14ac:dyDescent="0.2">
      <c r="B127" s="59" t="s">
        <v>223</v>
      </c>
      <c r="C127" s="121">
        <f>'Aramex Courier'!$O$7</f>
        <v>235404.83902287914</v>
      </c>
      <c r="D127" s="121">
        <f>'Aramex Express+SNS'!$O$7</f>
        <v>139397.4170192953</v>
      </c>
      <c r="E127" s="121">
        <f>'Aramex Domestic'!$O$7</f>
        <v>96007.422003583823</v>
      </c>
      <c r="F127" s="121">
        <f>'Aramex Freight'!$O$7</f>
        <v>100177.30744902983</v>
      </c>
      <c r="G127" s="121">
        <f>'Aramex Logistics'!$O$7</f>
        <v>28539.185005352883</v>
      </c>
      <c r="H127" s="121">
        <f>(12405.7948016625)*(('2023 IR Data Book'!$A$5))</f>
        <v>3377.9324733601534</v>
      </c>
      <c r="I127" s="121">
        <f>C127+F127+G127+H127</f>
        <v>367499.263950622</v>
      </c>
      <c r="J127" s="211">
        <f>C127-D127-E127</f>
        <v>0</v>
      </c>
      <c r="K127" s="28">
        <f>I127-'Group Profit &amp; Loss Stm'!O8</f>
        <v>-9.4380154041573405E-4</v>
      </c>
    </row>
    <row r="128" spans="2:11" x14ac:dyDescent="0.2">
      <c r="B128" s="60" t="s">
        <v>177</v>
      </c>
      <c r="C128" s="122">
        <f>'Aramex Courier'!$O$10</f>
        <v>69344.43610749385</v>
      </c>
      <c r="D128" s="122">
        <f>'Aramex Express+SNS'!$O$10</f>
        <v>49695.093464315185</v>
      </c>
      <c r="E128" s="122">
        <f>'Aramex Domestic'!$O$10</f>
        <v>19649.342643178665</v>
      </c>
      <c r="F128" s="122">
        <f>'Aramex Freight'!$O$9</f>
        <v>15878.160234923474</v>
      </c>
      <c r="G128" s="122">
        <f>'Aramex Logistics'!$O$9</f>
        <v>3172.5322225587079</v>
      </c>
      <c r="H128" s="122">
        <f>10016.5559282687*(('2023 IR Data Book'!$A$5))</f>
        <v>2727.3745924600285</v>
      </c>
      <c r="I128" s="122">
        <f>C128+F128+G128+H128</f>
        <v>91122.503157436062</v>
      </c>
      <c r="J128" s="211">
        <f t="shared" ref="J128:J129" si="71">C128-D128-E128</f>
        <v>0</v>
      </c>
      <c r="K128" s="28">
        <f>I128-'Group Profit &amp; Loss Stm'!O10</f>
        <v>0</v>
      </c>
    </row>
    <row r="129" spans="2:11" x14ac:dyDescent="0.2">
      <c r="B129" s="61" t="s">
        <v>178</v>
      </c>
      <c r="C129" s="158">
        <f>C128/C127</f>
        <v>0.29457523641115219</v>
      </c>
      <c r="D129" s="158">
        <f t="shared" ref="D129:I129" si="72">D128/D127</f>
        <v>0.35649938518901264</v>
      </c>
      <c r="E129" s="158">
        <f t="shared" si="72"/>
        <v>0.20466482937584954</v>
      </c>
      <c r="F129" s="158">
        <f t="shared" si="72"/>
        <v>0.15850056903358353</v>
      </c>
      <c r="G129" s="158">
        <f t="shared" si="72"/>
        <v>0.11116407921121993</v>
      </c>
      <c r="H129" s="158">
        <f t="shared" si="72"/>
        <v>0.80740944763380929</v>
      </c>
      <c r="I129" s="159">
        <f t="shared" si="72"/>
        <v>0.24795288615783317</v>
      </c>
      <c r="J129" s="211">
        <f t="shared" si="71"/>
        <v>-0.26658897815370997</v>
      </c>
      <c r="K129" s="33"/>
    </row>
    <row r="130" spans="2:11" x14ac:dyDescent="0.2">
      <c r="B130" s="61" t="s">
        <v>224</v>
      </c>
      <c r="C130" s="122">
        <f>'Aramex Courier'!$O$13</f>
        <v>7184.9138887267873</v>
      </c>
      <c r="D130" s="122"/>
      <c r="E130" s="122"/>
      <c r="F130" s="122">
        <f>'Aramex Freight'!$O$12</f>
        <v>4679.3041836859993</v>
      </c>
      <c r="G130" s="122">
        <f>'Aramex Logistics'!$O$12</f>
        <v>-842.20253153173223</v>
      </c>
      <c r="H130" s="122">
        <f>4227.72068270248*(('2023 IR Data Book'!$A$5))</f>
        <v>1151.1519584769592</v>
      </c>
      <c r="I130" s="122">
        <f>C130+F130+G130+H130</f>
        <v>12173.167499358015</v>
      </c>
      <c r="K130" s="28">
        <f>I130-'Group Profit &amp; Loss Stm'!O16</f>
        <v>-0.37120308101111732</v>
      </c>
    </row>
    <row r="131" spans="2:11" x14ac:dyDescent="0.2">
      <c r="B131" s="61" t="s">
        <v>181</v>
      </c>
      <c r="C131" s="158">
        <f>C130/C127</f>
        <v>3.0521521641398718E-2</v>
      </c>
      <c r="D131" s="158"/>
      <c r="E131" s="158"/>
      <c r="F131" s="158">
        <f t="shared" ref="F131:I131" si="73">F130/F127</f>
        <v>4.6710221135328751E-2</v>
      </c>
      <c r="G131" s="158">
        <f t="shared" si="73"/>
        <v>-2.95103918130026E-2</v>
      </c>
      <c r="H131" s="158">
        <f t="shared" si="73"/>
        <v>0.3407859593273237</v>
      </c>
      <c r="I131" s="159">
        <f t="shared" si="73"/>
        <v>3.3124331647623732E-2</v>
      </c>
      <c r="K131" s="33"/>
    </row>
    <row r="132" spans="2:11" x14ac:dyDescent="0.2">
      <c r="B132" s="61" t="s">
        <v>182</v>
      </c>
      <c r="C132" s="157">
        <f>'Aramex Courier'!$O$15</f>
        <v>23372.356359880981</v>
      </c>
      <c r="D132" s="157"/>
      <c r="E132" s="157"/>
      <c r="F132" s="157">
        <f>'Aramex Freight'!$O$14</f>
        <v>6538.6180960943202</v>
      </c>
      <c r="G132" s="157">
        <f>'Aramex Logistics'!$O$14</f>
        <v>5318.9415178877634</v>
      </c>
      <c r="H132" s="157">
        <f>(4479.7297055112)*(('2023 IR Data Book'!$A$5))</f>
        <v>1219.770654444045</v>
      </c>
      <c r="I132" s="122">
        <f>C132+F132+G132+H132</f>
        <v>36449.686628307107</v>
      </c>
      <c r="K132" s="28"/>
    </row>
    <row r="133" spans="2:11" x14ac:dyDescent="0.2">
      <c r="B133" s="123" t="s">
        <v>183</v>
      </c>
      <c r="C133" s="160">
        <f>C132/C127</f>
        <v>9.9285794025709931E-2</v>
      </c>
      <c r="D133" s="160"/>
      <c r="E133" s="160"/>
      <c r="F133" s="160">
        <f t="shared" ref="F133:I133" si="74">F132/F127</f>
        <v>6.5270451588261807E-2</v>
      </c>
      <c r="G133" s="160">
        <f t="shared" si="74"/>
        <v>0.1863732799969631</v>
      </c>
      <c r="H133" s="160">
        <f t="shared" si="74"/>
        <v>0.36109977451109149</v>
      </c>
      <c r="I133" s="160">
        <f t="shared" si="74"/>
        <v>9.918301940654925E-2</v>
      </c>
      <c r="K133" s="33"/>
    </row>
  </sheetData>
  <mergeCells count="15">
    <mergeCell ref="C125:I125"/>
    <mergeCell ref="C113:I113"/>
    <mergeCell ref="C101:I101"/>
    <mergeCell ref="C89:I89"/>
    <mergeCell ref="C5:I5"/>
    <mergeCell ref="C77:I77"/>
    <mergeCell ref="C53:I53"/>
    <mergeCell ref="C65:I65"/>
    <mergeCell ref="C42:I42"/>
    <mergeCell ref="L42:P42"/>
    <mergeCell ref="L5:P5"/>
    <mergeCell ref="C18:I18"/>
    <mergeCell ref="L18:P18"/>
    <mergeCell ref="C31:I31"/>
    <mergeCell ref="L31:P31"/>
  </mergeCells>
  <pageMargins left="0.7" right="0.7" top="0.75" bottom="0.75" header="0.3" footer="0.3"/>
  <pageSetup paperSize="9" orientation="portrait" r:id="rId1"/>
  <ignoredErrors>
    <ignoredError sqref="I9 P9:P11 P22:P24 P35:P37 P46:P48 I11 I81 I83 I93 I69 I57 I46 I35 I22 I95 I48 I37 I24 I59 I71 I105 I107 I117 I1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1EF8-9002-483C-8197-1A5536EBCB44}">
  <dimension ref="A1:N42"/>
  <sheetViews>
    <sheetView showGridLines="0" workbookViewId="0">
      <pane xSplit="2" ySplit="4" topLeftCell="C13" activePane="bottomRight" state="frozen"/>
      <selection pane="topRight" activeCell="C1" sqref="C1"/>
      <selection pane="bottomLeft" activeCell="A5" sqref="A5"/>
      <selection pane="bottomRight" activeCell="E32" sqref="E32"/>
    </sheetView>
  </sheetViews>
  <sheetFormatPr defaultColWidth="9.140625" defaultRowHeight="12.75" x14ac:dyDescent="0.2"/>
  <cols>
    <col min="1" max="1" width="5.42578125" style="1" customWidth="1"/>
    <col min="2" max="2" width="47.28515625" style="1" customWidth="1"/>
    <col min="3" max="5" width="10" style="1" bestFit="1" customWidth="1"/>
    <col min="6" max="7" width="12" style="1" customWidth="1"/>
    <col min="8" max="8" width="8.7109375" style="1" customWidth="1"/>
    <col min="9" max="9" width="39" style="1" bestFit="1" customWidth="1"/>
    <col min="10" max="10" width="9" style="1" bestFit="1" customWidth="1"/>
    <col min="11" max="11" width="9.5703125" style="1" bestFit="1" customWidth="1"/>
    <col min="12" max="12" width="10.140625" style="1" customWidth="1"/>
    <col min="13" max="13" width="9.140625" style="1"/>
    <col min="14" max="14" width="12" style="1" bestFit="1" customWidth="1"/>
    <col min="15" max="16384" width="9.140625" style="1"/>
  </cols>
  <sheetData>
    <row r="1" spans="1:14" x14ac:dyDescent="0.2">
      <c r="A1" s="162">
        <f>'2023 IR Data Book'!$A$5</f>
        <v>0.27228666339922669</v>
      </c>
      <c r="C1" s="2"/>
      <c r="D1" s="2"/>
      <c r="E1" s="2"/>
      <c r="F1" s="2"/>
      <c r="G1" s="2"/>
    </row>
    <row r="2" spans="1:14" x14ac:dyDescent="0.2">
      <c r="B2" s="3" t="s">
        <v>291</v>
      </c>
      <c r="C2" s="4"/>
      <c r="D2" s="4"/>
      <c r="E2" s="4"/>
      <c r="F2" s="4"/>
      <c r="G2" s="4"/>
    </row>
    <row r="4" spans="1:14" ht="25.5" x14ac:dyDescent="0.2">
      <c r="B4" s="93" t="s">
        <v>223</v>
      </c>
      <c r="C4" s="94" t="s">
        <v>228</v>
      </c>
      <c r="D4" s="94" t="s">
        <v>229</v>
      </c>
      <c r="E4" s="94" t="s">
        <v>230</v>
      </c>
      <c r="F4" s="94" t="s">
        <v>231</v>
      </c>
      <c r="G4" s="95" t="s">
        <v>232</v>
      </c>
      <c r="I4" s="96" t="s">
        <v>233</v>
      </c>
      <c r="J4" s="97" t="s">
        <v>228</v>
      </c>
      <c r="K4" s="97" t="s">
        <v>229</v>
      </c>
      <c r="L4" s="97" t="s">
        <v>230</v>
      </c>
      <c r="M4" s="97" t="s">
        <v>231</v>
      </c>
      <c r="N4" s="98" t="s">
        <v>232</v>
      </c>
    </row>
    <row r="5" spans="1:14" x14ac:dyDescent="0.2">
      <c r="B5" s="15" t="s">
        <v>234</v>
      </c>
      <c r="C5" s="5">
        <f>C6+C7</f>
        <v>208514.35850873168</v>
      </c>
      <c r="D5" s="5">
        <f t="shared" ref="D5:F5" si="0">D6+D7</f>
        <v>214993.44944855961</v>
      </c>
      <c r="E5" s="5">
        <f t="shared" si="0"/>
        <v>216983.71576588138</v>
      </c>
      <c r="F5" s="5">
        <f t="shared" si="0"/>
        <v>264591.36631009064</v>
      </c>
      <c r="G5" s="7">
        <f>SUM(C5:F5)</f>
        <v>905082.89003326325</v>
      </c>
      <c r="I5" s="99" t="s">
        <v>235</v>
      </c>
      <c r="J5" s="100">
        <v>20</v>
      </c>
      <c r="K5" s="100">
        <v>20</v>
      </c>
      <c r="L5" s="100">
        <v>22</v>
      </c>
      <c r="M5" s="101">
        <v>25</v>
      </c>
      <c r="N5" s="102">
        <v>88</v>
      </c>
    </row>
    <row r="6" spans="1:14" x14ac:dyDescent="0.2">
      <c r="B6" s="17" t="s">
        <v>236</v>
      </c>
      <c r="C6" s="8">
        <f>500411.542893547*('2023 IR Data Book'!$A$5)</f>
        <v>136255.38934094293</v>
      </c>
      <c r="D6" s="8">
        <f>527816.532850836*('2023 IR Data Book'!$A$5)</f>
        <v>143717.40261690249</v>
      </c>
      <c r="E6" s="8">
        <f>542630.923505683*('2023 IR Data Book'!$A$5)</f>
        <v>147751.16361860343</v>
      </c>
      <c r="F6" s="9">
        <f>701828.936519285*('2023 IR Data Book'!$A$5)</f>
        <v>191098.65940186378</v>
      </c>
      <c r="G6" s="10">
        <f>SUM(C6:F6)</f>
        <v>618822.61497831263</v>
      </c>
      <c r="I6" s="103" t="s">
        <v>237</v>
      </c>
      <c r="J6" s="104">
        <v>5</v>
      </c>
      <c r="K6" s="104">
        <v>5</v>
      </c>
      <c r="L6" s="104">
        <v>5</v>
      </c>
      <c r="M6" s="105">
        <v>6</v>
      </c>
      <c r="N6" s="106">
        <v>21</v>
      </c>
    </row>
    <row r="7" spans="1:14" x14ac:dyDescent="0.2">
      <c r="B7" s="18" t="s">
        <v>238</v>
      </c>
      <c r="C7" s="5">
        <f>265378.290165621*('2023 IR Data Book'!$A$5)</f>
        <v>72258.969167788746</v>
      </c>
      <c r="D7" s="5">
        <f>261768.409593944*('2023 IR Data Book'!$A$5)</f>
        <v>71276.046831657135</v>
      </c>
      <c r="E7" s="5">
        <f>254263.471016093*('2023 IR Data Book'!$A$5)</f>
        <v>69232.552147277951</v>
      </c>
      <c r="F7" s="6">
        <f>269909.315391154*('2023 IR Data Book'!$A$5)</f>
        <v>73492.706908226872</v>
      </c>
      <c r="G7" s="11">
        <f t="shared" ref="G7" si="1">SUM(C7:F7)</f>
        <v>286260.27505495067</v>
      </c>
      <c r="I7" s="107" t="s">
        <v>239</v>
      </c>
      <c r="J7" s="108">
        <v>15</v>
      </c>
      <c r="K7" s="108">
        <v>15</v>
      </c>
      <c r="L7" s="108">
        <v>17</v>
      </c>
      <c r="M7" s="109">
        <v>19</v>
      </c>
      <c r="N7" s="110">
        <v>67</v>
      </c>
    </row>
    <row r="8" spans="1:14" x14ac:dyDescent="0.2">
      <c r="B8" s="16"/>
      <c r="C8" s="12"/>
      <c r="D8" s="12"/>
      <c r="E8" s="12"/>
      <c r="F8" s="12"/>
      <c r="G8" s="12"/>
      <c r="I8" s="16"/>
      <c r="J8" s="12"/>
      <c r="K8" s="12"/>
      <c r="L8" s="12"/>
      <c r="M8" s="12"/>
      <c r="N8" s="12"/>
    </row>
    <row r="9" spans="1:14" ht="25.5" x14ac:dyDescent="0.2">
      <c r="B9" s="93" t="s">
        <v>223</v>
      </c>
      <c r="C9" s="94" t="s">
        <v>240</v>
      </c>
      <c r="D9" s="94" t="s">
        <v>241</v>
      </c>
      <c r="E9" s="94" t="s">
        <v>242</v>
      </c>
      <c r="F9" s="94" t="s">
        <v>243</v>
      </c>
      <c r="G9" s="94" t="s">
        <v>244</v>
      </c>
      <c r="I9" s="96" t="s">
        <v>233</v>
      </c>
      <c r="J9" s="97" t="s">
        <v>240</v>
      </c>
      <c r="K9" s="97" t="s">
        <v>241</v>
      </c>
      <c r="L9" s="97" t="s">
        <v>242</v>
      </c>
      <c r="M9" s="97" t="s">
        <v>243</v>
      </c>
      <c r="N9" s="111" t="s">
        <v>244</v>
      </c>
    </row>
    <row r="10" spans="1:14" x14ac:dyDescent="0.2">
      <c r="B10" s="15" t="s">
        <v>234</v>
      </c>
      <c r="C10" s="5">
        <f>C11+C12</f>
        <v>215009.20454556661</v>
      </c>
      <c r="D10" s="5">
        <f t="shared" ref="D10:F10" si="2">D11+D12</f>
        <v>229681.78122098921</v>
      </c>
      <c r="E10" s="5">
        <f t="shared" si="2"/>
        <v>225153.19047385693</v>
      </c>
      <c r="F10" s="5">
        <f t="shared" si="2"/>
        <v>271575.72868935415</v>
      </c>
      <c r="G10" s="7">
        <f>SUM(C10:F10)</f>
        <v>941419.9049297669</v>
      </c>
      <c r="I10" s="99" t="s">
        <v>235</v>
      </c>
      <c r="J10" s="112">
        <v>21</v>
      </c>
      <c r="K10" s="112">
        <v>23</v>
      </c>
      <c r="L10" s="112">
        <v>24</v>
      </c>
      <c r="M10" s="112">
        <v>29</v>
      </c>
      <c r="N10" s="113">
        <v>97</v>
      </c>
    </row>
    <row r="11" spans="1:14" x14ac:dyDescent="0.2">
      <c r="B11" s="17" t="s">
        <v>236</v>
      </c>
      <c r="C11" s="8">
        <f>533005.978333014*('2023 IR Data Book'!$A$5)</f>
        <v>145130.41941213689</v>
      </c>
      <c r="D11" s="8">
        <f>586348.531544673*('2023 IR Data Book'!$A$5)</f>
        <v>159654.88524333524</v>
      </c>
      <c r="E11" s="8">
        <f>556350.512051748*('2023 IR Data Book'!$A$5)</f>
        <v>151486.82460702173</v>
      </c>
      <c r="F11" s="9">
        <f>673427.373818058*('2023 IR Data Book'!$A$5)</f>
        <v>183365.29265862278</v>
      </c>
      <c r="G11" s="10">
        <f>SUM(C11:F11)</f>
        <v>639637.42192111677</v>
      </c>
      <c r="I11" s="103" t="s">
        <v>237</v>
      </c>
      <c r="J11" s="104">
        <v>5</v>
      </c>
      <c r="K11" s="114">
        <v>6</v>
      </c>
      <c r="L11" s="114">
        <v>6</v>
      </c>
      <c r="M11" s="114">
        <v>7</v>
      </c>
      <c r="N11" s="115">
        <v>24</v>
      </c>
    </row>
    <row r="12" spans="1:14" x14ac:dyDescent="0.2">
      <c r="B12" s="18" t="s">
        <v>238</v>
      </c>
      <c r="C12" s="5">
        <f>256636.826281034*('2023 IR Data Book'!$A$5)</f>
        <v>69878.785133429716</v>
      </c>
      <c r="D12" s="5">
        <f>257180.778167532*('2023 IR Data Book'!$A$5)</f>
        <v>70026.89597765397</v>
      </c>
      <c r="E12" s="5">
        <f>270547.095282539*('2023 IR Data Book'!$A$5)</f>
        <v>73666.365866835215</v>
      </c>
      <c r="F12" s="6">
        <f>323961.647366464*('2023 IR Data Book'!$A$5)</f>
        <v>88210.436030731362</v>
      </c>
      <c r="G12" s="11">
        <f t="shared" ref="G12" si="3">SUM(C12:F12)</f>
        <v>301782.48300865025</v>
      </c>
      <c r="I12" s="107" t="s">
        <v>239</v>
      </c>
      <c r="J12" s="116">
        <v>16</v>
      </c>
      <c r="K12" s="116">
        <v>17</v>
      </c>
      <c r="L12" s="116">
        <v>18</v>
      </c>
      <c r="M12" s="116">
        <v>22</v>
      </c>
      <c r="N12" s="117">
        <v>73</v>
      </c>
    </row>
    <row r="13" spans="1:14" x14ac:dyDescent="0.2">
      <c r="B13" s="16"/>
      <c r="C13" s="12"/>
      <c r="D13" s="12"/>
      <c r="E13" s="12"/>
      <c r="F13" s="12"/>
      <c r="G13" s="12"/>
      <c r="I13" s="16"/>
      <c r="J13" s="12"/>
      <c r="K13" s="12"/>
      <c r="L13" s="12"/>
      <c r="M13" s="12"/>
      <c r="N13" s="12"/>
    </row>
    <row r="14" spans="1:14" ht="25.5" x14ac:dyDescent="0.2">
      <c r="B14" s="93" t="s">
        <v>223</v>
      </c>
      <c r="C14" s="94" t="s">
        <v>245</v>
      </c>
      <c r="D14" s="94" t="s">
        <v>246</v>
      </c>
      <c r="E14" s="94" t="s">
        <v>247</v>
      </c>
      <c r="F14" s="94" t="s">
        <v>248</v>
      </c>
      <c r="G14" s="94" t="s">
        <v>249</v>
      </c>
      <c r="I14" s="96" t="s">
        <v>233</v>
      </c>
      <c r="J14" s="97" t="s">
        <v>245</v>
      </c>
      <c r="K14" s="97" t="s">
        <v>246</v>
      </c>
      <c r="L14" s="97" t="s">
        <v>247</v>
      </c>
      <c r="M14" s="97" t="s">
        <v>248</v>
      </c>
      <c r="N14" s="111" t="s">
        <v>249</v>
      </c>
    </row>
    <row r="15" spans="1:14" x14ac:dyDescent="0.2">
      <c r="B15" s="15" t="s">
        <v>234</v>
      </c>
      <c r="C15" s="5">
        <f>C16+C17</f>
        <v>209228.90151624108</v>
      </c>
      <c r="D15" s="5">
        <f t="shared" ref="D15:F15" si="4">D16+D17</f>
        <v>250074.39159745848</v>
      </c>
      <c r="E15" s="5">
        <f t="shared" si="4"/>
        <v>290113.91282821569</v>
      </c>
      <c r="F15" s="5">
        <f t="shared" si="4"/>
        <v>322139.0415016372</v>
      </c>
      <c r="G15" s="7">
        <f>SUM(C15:F15)</f>
        <v>1071556.2474435526</v>
      </c>
      <c r="I15" s="99" t="s">
        <v>235</v>
      </c>
      <c r="J15" s="112">
        <v>24.89</v>
      </c>
      <c r="K15" s="112">
        <v>29</v>
      </c>
      <c r="L15" s="112">
        <v>32.616999999999997</v>
      </c>
      <c r="M15" s="112">
        <v>35</v>
      </c>
      <c r="N15" s="113">
        <v>121.50700000000001</v>
      </c>
    </row>
    <row r="16" spans="1:14" x14ac:dyDescent="0.2">
      <c r="B16" s="17" t="s">
        <v>236</v>
      </c>
      <c r="C16" s="8">
        <f>479423.365217863*('2023 IR Data Book'!$A$5)</f>
        <v>130540.58847080079</v>
      </c>
      <c r="D16" s="8">
        <f>582164.588216127*('2023 IR Data Book'!$A$5)</f>
        <v>158515.653274554</v>
      </c>
      <c r="E16" s="8">
        <f>715248.567909872*('2023 IR Data Book'!$A$5)</f>
        <v>194752.64605725426</v>
      </c>
      <c r="F16" s="9">
        <f>796492.326933316*('2023 IR Data Book'!$A$5)</f>
        <v>216874.23812375861</v>
      </c>
      <c r="G16" s="10">
        <f>SUM(C16:F16)</f>
        <v>700683.12592636759</v>
      </c>
      <c r="I16" s="103" t="s">
        <v>237</v>
      </c>
      <c r="J16" s="114">
        <v>5.19</v>
      </c>
      <c r="K16" s="114">
        <v>6</v>
      </c>
      <c r="L16" s="114">
        <v>6.53</v>
      </c>
      <c r="M16" s="114">
        <v>7</v>
      </c>
      <c r="N16" s="115">
        <v>24.720000000000002</v>
      </c>
    </row>
    <row r="17" spans="2:14" x14ac:dyDescent="0.2">
      <c r="B17" s="18" t="s">
        <v>238</v>
      </c>
      <c r="C17" s="5">
        <f>288990.698490684*('2023 IR Data Book'!$A$5)</f>
        <v>78688.313045440271</v>
      </c>
      <c r="D17" s="5">
        <f>336258.622364699*('2023 IR Data Book'!$A$5)</f>
        <v>91558.738322904479</v>
      </c>
      <c r="E17" s="5">
        <f>350223.788343033*('2023 IR Data Book'!$A$5)</f>
        <v>95361.266770961432</v>
      </c>
      <c r="F17" s="6">
        <f>386595.516885597*('2023 IR Data Book'!$A$5)</f>
        <v>105264.80337787862</v>
      </c>
      <c r="G17" s="11">
        <f t="shared" ref="G17" si="5">SUM(C17:F17)</f>
        <v>370873.12151718477</v>
      </c>
      <c r="I17" s="107" t="s">
        <v>239</v>
      </c>
      <c r="J17" s="116">
        <v>19.7</v>
      </c>
      <c r="K17" s="116">
        <v>23</v>
      </c>
      <c r="L17" s="116">
        <v>26.087</v>
      </c>
      <c r="M17" s="116">
        <v>28</v>
      </c>
      <c r="N17" s="256">
        <v>96.787000000000006</v>
      </c>
    </row>
    <row r="18" spans="2:14" x14ac:dyDescent="0.2">
      <c r="B18" s="16"/>
      <c r="C18" s="12"/>
      <c r="D18" s="12"/>
      <c r="E18" s="12"/>
      <c r="F18" s="12"/>
      <c r="G18" s="12"/>
      <c r="I18" s="16"/>
      <c r="J18" s="12"/>
      <c r="K18" s="12"/>
      <c r="L18" s="12"/>
      <c r="M18" s="12"/>
      <c r="N18" s="12"/>
    </row>
    <row r="19" spans="2:14" ht="25.5" x14ac:dyDescent="0.2">
      <c r="B19" s="93" t="s">
        <v>223</v>
      </c>
      <c r="C19" s="94" t="s">
        <v>250</v>
      </c>
      <c r="D19" s="94" t="s">
        <v>251</v>
      </c>
      <c r="E19" s="94" t="s">
        <v>252</v>
      </c>
      <c r="F19" s="94" t="s">
        <v>253</v>
      </c>
      <c r="G19" s="94" t="s">
        <v>254</v>
      </c>
      <c r="I19" s="96" t="s">
        <v>233</v>
      </c>
      <c r="J19" s="97" t="s">
        <v>250</v>
      </c>
      <c r="K19" s="97" t="s">
        <v>251</v>
      </c>
      <c r="L19" s="97" t="s">
        <v>252</v>
      </c>
      <c r="M19" s="97" t="s">
        <v>253</v>
      </c>
      <c r="N19" s="111" t="s">
        <v>254</v>
      </c>
    </row>
    <row r="20" spans="2:14" x14ac:dyDescent="0.2">
      <c r="B20" s="15" t="s">
        <v>234</v>
      </c>
      <c r="C20" s="5">
        <f>C21+C22</f>
        <v>272869.94230006775</v>
      </c>
      <c r="D20" s="5">
        <f t="shared" ref="D20:F20" si="6">D21+D22</f>
        <v>299728.11268442223</v>
      </c>
      <c r="E20" s="5">
        <f t="shared" si="6"/>
        <v>291251.90801540925</v>
      </c>
      <c r="F20" s="5">
        <f t="shared" si="6"/>
        <v>284170.26327185862</v>
      </c>
      <c r="G20" s="7">
        <f>SUM(C20:F20)</f>
        <v>1148020.2262717579</v>
      </c>
      <c r="I20" s="99" t="s">
        <v>235</v>
      </c>
      <c r="J20" s="112">
        <v>31.46</v>
      </c>
      <c r="K20" s="112">
        <v>33</v>
      </c>
      <c r="L20" s="112">
        <v>33.9</v>
      </c>
      <c r="M20" s="112">
        <v>35.489339000000001</v>
      </c>
      <c r="N20" s="113">
        <v>133.84933899999999</v>
      </c>
    </row>
    <row r="21" spans="2:14" x14ac:dyDescent="0.2">
      <c r="B21" s="17" t="s">
        <v>236</v>
      </c>
      <c r="C21" s="8">
        <f>646524.386045871*('2023 IR Data Book'!$A$5)</f>
        <v>176039.96788266377</v>
      </c>
      <c r="D21" s="8">
        <f>733555.542145953*('2023 IR Data Book'!$A$5)</f>
        <v>199737.39098893237</v>
      </c>
      <c r="E21" s="8">
        <f>608876.826084214*('2023 IR Data Book'!$A$5)</f>
        <v>165789.03939558187</v>
      </c>
      <c r="F21" s="9">
        <f>671392.92795456*('2023 IR Data Book'!$A$5)</f>
        <v>182811.34018258454</v>
      </c>
      <c r="G21" s="10">
        <f>SUM(C21:F21)</f>
        <v>724377.73844976258</v>
      </c>
      <c r="I21" s="103" t="s">
        <v>237</v>
      </c>
      <c r="J21" s="114">
        <v>6.2</v>
      </c>
      <c r="K21" s="114">
        <v>7.2</v>
      </c>
      <c r="L21" s="114">
        <v>6.3</v>
      </c>
      <c r="M21" s="114">
        <v>6.0524940000000003</v>
      </c>
      <c r="N21" s="115">
        <v>25.752493999999999</v>
      </c>
    </row>
    <row r="22" spans="2:14" x14ac:dyDescent="0.2">
      <c r="B22" s="18" t="s">
        <v>238</v>
      </c>
      <c r="C22" s="5">
        <f>355617.764045358*('2023 IR Data Book'!$A$5)</f>
        <v>96829.97441740401</v>
      </c>
      <c r="D22" s="5">
        <f>367225.924498856*('2023 IR Data Book'!$A$5)</f>
        <v>99990.721695489847</v>
      </c>
      <c r="E22" s="5">
        <f>460774.931293178*('2023 IR Data Book'!$A$5)</f>
        <v>125462.86861982736</v>
      </c>
      <c r="F22" s="6">
        <f>372250.780937668*('2023 IR Data Book'!$A$5)</f>
        <v>101358.92308927407</v>
      </c>
      <c r="G22" s="11">
        <f t="shared" ref="G22" si="7">SUM(C22:F22)</f>
        <v>423642.48782199534</v>
      </c>
      <c r="I22" s="107" t="s">
        <v>239</v>
      </c>
      <c r="J22" s="116">
        <v>25.26</v>
      </c>
      <c r="K22" s="116">
        <v>25.8</v>
      </c>
      <c r="L22" s="116">
        <v>27.6</v>
      </c>
      <c r="M22" s="116">
        <v>29.436845000000002</v>
      </c>
      <c r="N22" s="256">
        <v>108.096845</v>
      </c>
    </row>
    <row r="23" spans="2:14" x14ac:dyDescent="0.2">
      <c r="B23" s="16"/>
      <c r="C23" s="12"/>
      <c r="D23" s="12"/>
      <c r="E23" s="12"/>
      <c r="F23" s="12"/>
      <c r="G23" s="12"/>
      <c r="I23" s="16"/>
      <c r="J23" s="12"/>
      <c r="K23" s="12"/>
      <c r="L23" s="12"/>
      <c r="M23" s="12"/>
      <c r="N23" s="12"/>
    </row>
    <row r="24" spans="2:14" ht="23.25" customHeight="1" x14ac:dyDescent="0.2">
      <c r="B24" s="93" t="s">
        <v>223</v>
      </c>
      <c r="C24" s="94" t="s">
        <v>255</v>
      </c>
      <c r="D24" s="94" t="s">
        <v>256</v>
      </c>
      <c r="E24" s="94" t="s">
        <v>257</v>
      </c>
      <c r="F24" s="94" t="s">
        <v>282</v>
      </c>
      <c r="G24" s="94" t="s">
        <v>259</v>
      </c>
      <c r="I24" s="96" t="s">
        <v>233</v>
      </c>
      <c r="J24" s="97" t="s">
        <v>255</v>
      </c>
      <c r="K24" s="97" t="s">
        <v>256</v>
      </c>
      <c r="L24" s="97" t="s">
        <v>257</v>
      </c>
      <c r="M24" s="97" t="s">
        <v>258</v>
      </c>
      <c r="N24" s="111" t="s">
        <v>259</v>
      </c>
    </row>
    <row r="25" spans="2:14" x14ac:dyDescent="0.2">
      <c r="B25" s="15" t="s">
        <v>234</v>
      </c>
      <c r="C25" s="5">
        <f>C26+C27</f>
        <v>254756.20752683165</v>
      </c>
      <c r="D25" s="5">
        <f t="shared" ref="D25:F25" si="8">D26+D27</f>
        <v>261647.41023439413</v>
      </c>
      <c r="E25" s="5">
        <f t="shared" si="8"/>
        <v>235186.63598272594</v>
      </c>
      <c r="F25" s="5">
        <f t="shared" si="8"/>
        <v>269506.69813361298</v>
      </c>
      <c r="G25" s="7">
        <f>SUM(C25:F25)</f>
        <v>1021096.9518775647</v>
      </c>
      <c r="I25" s="99" t="s">
        <v>235</v>
      </c>
      <c r="J25" s="112">
        <f>J26+J27</f>
        <v>30.348113000000001</v>
      </c>
      <c r="K25" s="112">
        <f>K26+K27</f>
        <v>30.031293999999999</v>
      </c>
      <c r="L25" s="112">
        <f>L26+L27</f>
        <v>29.605456</v>
      </c>
      <c r="M25" s="112">
        <f t="shared" ref="M25:N25" si="9">M26+M27</f>
        <v>32.288510000000002</v>
      </c>
      <c r="N25" s="112">
        <f t="shared" si="9"/>
        <v>122.27337300000001</v>
      </c>
    </row>
    <row r="26" spans="2:14" x14ac:dyDescent="0.2">
      <c r="B26" s="17" t="s">
        <v>236</v>
      </c>
      <c r="C26" s="8">
        <f>'Aramex Express+SNS'!H7</f>
        <v>152201.99999999997</v>
      </c>
      <c r="D26" s="8">
        <f>'Aramex Express+SNS'!I7</f>
        <v>160222.25547525755</v>
      </c>
      <c r="E26" s="8">
        <f>'Aramex Express+SNS'!J7</f>
        <v>134489.68551409029</v>
      </c>
      <c r="F26" s="8">
        <f>607548.926899381*(('2023 IR Data Book'!$A$5))</f>
        <v>165427.47015721313</v>
      </c>
      <c r="G26" s="10">
        <f>SUM(C26:F26)</f>
        <v>612341.41114656092</v>
      </c>
      <c r="H26" s="4"/>
      <c r="I26" s="103" t="s">
        <v>237</v>
      </c>
      <c r="J26" s="114">
        <v>5.3397690000000004</v>
      </c>
      <c r="K26" s="114">
        <v>5.9301339999999998</v>
      </c>
      <c r="L26" s="114">
        <v>5.1237760000000003</v>
      </c>
      <c r="M26" s="114">
        <v>5.8111730000000001</v>
      </c>
      <c r="N26" s="115">
        <f>SUM(J26:M26)</f>
        <v>22.204851999999999</v>
      </c>
    </row>
    <row r="27" spans="2:14" x14ac:dyDescent="0.2">
      <c r="B27" s="18" t="s">
        <v>238</v>
      </c>
      <c r="C27" s="5">
        <f>'Aramex Domestic'!H7</f>
        <v>102554.20752683167</v>
      </c>
      <c r="D27" s="5">
        <f>'Aramex Domestic'!I7</f>
        <v>101425.15475913658</v>
      </c>
      <c r="E27" s="5">
        <f>'Aramex Domestic'!J7</f>
        <v>100696.95046863565</v>
      </c>
      <c r="F27" s="5">
        <f>382241.372666126*(('2023 IR Data Book'!$A$5))</f>
        <v>104079.22797639982</v>
      </c>
      <c r="G27" s="11">
        <f t="shared" ref="G27" si="10">SUM(C27:F27)</f>
        <v>408755.54073100374</v>
      </c>
      <c r="H27" s="4"/>
      <c r="I27" s="107" t="s">
        <v>239</v>
      </c>
      <c r="J27" s="116">
        <v>25.008344000000001</v>
      </c>
      <c r="K27" s="116">
        <v>24.10116</v>
      </c>
      <c r="L27" s="116">
        <v>24.481680000000001</v>
      </c>
      <c r="M27" s="116">
        <v>26.477336999999999</v>
      </c>
      <c r="N27" s="116">
        <f>SUM(J27:M27)</f>
        <v>100.068521</v>
      </c>
    </row>
    <row r="28" spans="2:14" x14ac:dyDescent="0.2">
      <c r="H28" s="243"/>
    </row>
    <row r="29" spans="2:14" ht="25.5" x14ac:dyDescent="0.2">
      <c r="B29" s="93" t="s">
        <v>223</v>
      </c>
      <c r="C29" s="94" t="s">
        <v>292</v>
      </c>
      <c r="D29" s="94" t="s">
        <v>293</v>
      </c>
      <c r="E29" s="94" t="s">
        <v>294</v>
      </c>
      <c r="F29" s="94" t="s">
        <v>295</v>
      </c>
      <c r="G29" s="94" t="s">
        <v>296</v>
      </c>
      <c r="I29" s="96" t="s">
        <v>233</v>
      </c>
      <c r="J29" s="97" t="str">
        <f>C29</f>
        <v>1st Qrt'23</v>
      </c>
      <c r="K29" s="97" t="str">
        <f>D29</f>
        <v>2nd Qrt'23</v>
      </c>
      <c r="L29" s="97" t="str">
        <f>E29</f>
        <v>3rd Qrt'23</v>
      </c>
      <c r="M29" s="97" t="str">
        <f>F29</f>
        <v>4th Qrt'23</v>
      </c>
      <c r="N29" s="111" t="str">
        <f>G29</f>
        <v>Full year 2023</v>
      </c>
    </row>
    <row r="30" spans="2:14" x14ac:dyDescent="0.2">
      <c r="B30" s="15" t="s">
        <v>234</v>
      </c>
      <c r="C30" s="5">
        <f>C31+C32</f>
        <v>252745.49928826661</v>
      </c>
      <c r="D30" s="5">
        <f>D31+D32</f>
        <v>248441.50182747017</v>
      </c>
      <c r="E30" s="5">
        <f>E31+E32</f>
        <v>235404.83902287914</v>
      </c>
      <c r="F30" s="5"/>
      <c r="G30" s="7">
        <f>SUM(C30:F30)</f>
        <v>736591.84013861592</v>
      </c>
      <c r="I30" s="99" t="s">
        <v>235</v>
      </c>
      <c r="J30" s="112">
        <f>J31+J32</f>
        <v>30.013763000000001</v>
      </c>
      <c r="K30" s="112">
        <f>K31+K32</f>
        <v>29.723403000000001</v>
      </c>
      <c r="L30" s="112">
        <f>L31+L32</f>
        <v>29.394833000000002</v>
      </c>
      <c r="M30" s="112">
        <f t="shared" ref="M30:N30" si="11">M31+M32</f>
        <v>0</v>
      </c>
      <c r="N30" s="112">
        <f t="shared" si="11"/>
        <v>89.131998999999993</v>
      </c>
    </row>
    <row r="31" spans="2:14" x14ac:dyDescent="0.2">
      <c r="B31" s="17" t="s">
        <v>236</v>
      </c>
      <c r="C31" s="8">
        <f>'Aramex Express+SNS'!M7</f>
        <v>154272.42826484697</v>
      </c>
      <c r="D31" s="8">
        <f>'Aramex Express+SNS'!N7</f>
        <v>152764.03205798916</v>
      </c>
      <c r="E31" s="8">
        <f>'Aramex Express+SNS'!O7</f>
        <v>139397.4170192953</v>
      </c>
      <c r="F31" s="8"/>
      <c r="G31" s="10">
        <f>SUM(C31:F31)</f>
        <v>446433.87734213145</v>
      </c>
      <c r="I31" s="103" t="s">
        <v>237</v>
      </c>
      <c r="J31" s="114">
        <f>'Aramex Courier'!M20/1000000</f>
        <v>5.3936590000000004</v>
      </c>
      <c r="K31" s="114">
        <f>'Aramex Courier'!N20/1000000</f>
        <v>5.491225</v>
      </c>
      <c r="L31" s="114">
        <f>'Aramex Courier'!O20/1000000</f>
        <v>4.8525600000000004</v>
      </c>
      <c r="M31" s="114">
        <f>'Regional Breakdown'!C215/1000000</f>
        <v>0</v>
      </c>
      <c r="N31" s="115">
        <f>SUM(J31:M31)</f>
        <v>15.737444</v>
      </c>
    </row>
    <row r="32" spans="2:14" x14ac:dyDescent="0.2">
      <c r="B32" s="18" t="s">
        <v>238</v>
      </c>
      <c r="C32" s="5">
        <f>'Aramex Domestic'!M7</f>
        <v>98473.071023419645</v>
      </c>
      <c r="D32" s="5">
        <f>'Aramex Domestic'!N7</f>
        <v>95677.469769481017</v>
      </c>
      <c r="E32" s="5">
        <f>'Aramex Domestic'!O7</f>
        <v>96007.422003583823</v>
      </c>
      <c r="F32" s="5"/>
      <c r="G32" s="11">
        <f t="shared" ref="G32" si="12">SUM(C32:F32)</f>
        <v>290157.96279648447</v>
      </c>
      <c r="H32" s="4"/>
      <c r="I32" s="107" t="s">
        <v>239</v>
      </c>
      <c r="J32" s="116">
        <f>'Aramex Courier'!M19/1000000</f>
        <v>24.620104000000001</v>
      </c>
      <c r="K32" s="116">
        <f>'Aramex Courier'!N19/1000000</f>
        <v>24.232178000000001</v>
      </c>
      <c r="L32" s="116">
        <f>'Aramex Courier'!O19/1000000</f>
        <v>24.542273000000002</v>
      </c>
      <c r="M32" s="116">
        <f>'Regional Breakdown'!C214/1000000</f>
        <v>0</v>
      </c>
      <c r="N32" s="116">
        <f>SUM(J32:M32)</f>
        <v>73.394554999999997</v>
      </c>
    </row>
    <row r="34" spans="3:4" x14ac:dyDescent="0.2">
      <c r="C34" s="4"/>
      <c r="D34" s="4"/>
    </row>
    <row r="35" spans="3:4" x14ac:dyDescent="0.2">
      <c r="C35" s="4"/>
      <c r="D35" s="4"/>
    </row>
    <row r="38" spans="3:4" hidden="1" x14ac:dyDescent="0.2">
      <c r="C38" s="8">
        <f>557745.393557364*('2023 IR Data Book'!$A$5)</f>
        <v>151866.63223802319</v>
      </c>
    </row>
    <row r="39" spans="3:4" hidden="1" x14ac:dyDescent="0.2">
      <c r="C39" s="5">
        <f>353346.525111743*('2023 IR Data Book'!$A$5)</f>
        <v>96211.546346387579</v>
      </c>
    </row>
    <row r="40" spans="3:4" hidden="1" x14ac:dyDescent="0.2"/>
    <row r="41" spans="3:4" hidden="1" x14ac:dyDescent="0.2">
      <c r="C41" s="4">
        <f>C26-C38</f>
        <v>335.3677619767841</v>
      </c>
    </row>
    <row r="42" spans="3:4" hidden="1" x14ac:dyDescent="0.2">
      <c r="C42" s="4">
        <f>C27-C39</f>
        <v>6342.6611804440909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DD68-F16B-44D9-A77F-AE595237758B}">
  <dimension ref="B2:M18"/>
  <sheetViews>
    <sheetView showGridLines="0" workbookViewId="0">
      <selection activeCell="K8" sqref="K8"/>
    </sheetView>
  </sheetViews>
  <sheetFormatPr defaultColWidth="9.140625" defaultRowHeight="12.75" x14ac:dyDescent="0.2"/>
  <cols>
    <col min="1" max="1" width="9.140625" style="20"/>
    <col min="2" max="2" width="32" style="20" bestFit="1" customWidth="1"/>
    <col min="3" max="3" width="11.140625" style="20" customWidth="1"/>
    <col min="4" max="4" width="12.5703125" style="20" customWidth="1"/>
    <col min="5" max="5" width="12" style="20" customWidth="1"/>
    <col min="6" max="6" width="10.42578125" style="20" customWidth="1"/>
    <col min="7" max="7" width="11.5703125" style="20" customWidth="1"/>
    <col min="8" max="8" width="11.140625" style="20" customWidth="1"/>
    <col min="9" max="13" width="11" style="20" bestFit="1" customWidth="1"/>
    <col min="14" max="16384" width="9.140625" style="20"/>
  </cols>
  <sheetData>
    <row r="2" spans="2:13" x14ac:dyDescent="0.2">
      <c r="B2" s="213" t="s">
        <v>263</v>
      </c>
      <c r="C2" s="213" t="s">
        <v>64</v>
      </c>
      <c r="D2" s="213" t="s">
        <v>65</v>
      </c>
      <c r="E2" s="213" t="s">
        <v>66</v>
      </c>
      <c r="F2" s="213" t="s">
        <v>67</v>
      </c>
      <c r="G2" s="213" t="s">
        <v>68</v>
      </c>
      <c r="H2" s="213" t="s">
        <v>69</v>
      </c>
      <c r="I2" s="213" t="s">
        <v>261</v>
      </c>
      <c r="J2" s="213" t="s">
        <v>280</v>
      </c>
      <c r="K2" s="213" t="s">
        <v>287</v>
      </c>
      <c r="L2" s="213" t="s">
        <v>301</v>
      </c>
      <c r="M2" s="213" t="s">
        <v>308</v>
      </c>
    </row>
    <row r="3" spans="2:13" x14ac:dyDescent="0.2">
      <c r="B3" s="20" t="s">
        <v>264</v>
      </c>
      <c r="C3" s="214">
        <f>'Group Profit &amp; Loss Stm'!C10/'Group Profit &amp; Loss Stm'!$C$8</f>
        <v>0.25169393929398792</v>
      </c>
      <c r="D3" s="214">
        <f>'Group Profit &amp; Loss Stm'!D10/'Group Profit &amp; Loss Stm'!$D$8</f>
        <v>0.24741187187405111</v>
      </c>
      <c r="E3" s="214">
        <f>'Group Profit &amp; Loss Stm'!E10/'Group Profit &amp; Loss Stm'!$E$8</f>
        <v>0.24365610057177886</v>
      </c>
      <c r="F3" s="214">
        <f>'Group Profit &amp; Loss Stm'!F10/'Group Profit &amp; Loss Stm'!$F$8</f>
        <v>0.20320561945214088</v>
      </c>
      <c r="G3" s="214">
        <f>'Group Profit &amp; Loss Stm'!H10/'Group Profit &amp; Loss Stm'!$H$8</f>
        <v>0.23748544556615778</v>
      </c>
      <c r="H3" s="214">
        <f>'Group Profit &amp; Loss Stm'!I10/'Group Profit &amp; Loss Stm'!$I$8</f>
        <v>0.24965421867526977</v>
      </c>
      <c r="I3" s="214">
        <f>'Group Profit &amp; Loss Stm'!J10/'Group Profit &amp; Loss Stm'!$J$8</f>
        <v>0.22494442913815538</v>
      </c>
      <c r="J3" s="214">
        <f>'Group Profit &amp; Loss Stm'!K10/'Group Profit &amp; Loss Stm'!$K$8</f>
        <v>0.24817210253908153</v>
      </c>
      <c r="K3" s="214">
        <f>'Group Profit &amp; Loss Stm'!$M$10/'Group Profit &amp; Loss Stm'!$M$8</f>
        <v>0.25008801980585349</v>
      </c>
      <c r="L3" s="214">
        <f>'Group Profit &amp; Loss Stm'!$N$10/'Group Profit &amp; Loss Stm'!$N$8</f>
        <v>0.24880197466706255</v>
      </c>
      <c r="M3" s="214">
        <f>'Group Profit &amp; Loss Stm'!$O$10/'Group Profit &amp; Loss Stm'!$O$8</f>
        <v>0.24795288552104761</v>
      </c>
    </row>
    <row r="4" spans="2:13" x14ac:dyDescent="0.2">
      <c r="B4" s="20" t="s">
        <v>265</v>
      </c>
      <c r="C4" s="214">
        <f>'Group Profit &amp; Loss Stm'!C16/'Group Profit &amp; Loss Stm'!$C$8</f>
        <v>5.5760516459370392E-2</v>
      </c>
      <c r="D4" s="214">
        <f>'Group Profit &amp; Loss Stm'!D16/'Group Profit &amp; Loss Stm'!$D$8</f>
        <v>6.3371661118972716E-2</v>
      </c>
      <c r="E4" s="214">
        <f>'Group Profit &amp; Loss Stm'!E16/'Group Profit &amp; Loss Stm'!$E$8</f>
        <v>4.6542913526991823E-2</v>
      </c>
      <c r="F4" s="214">
        <f>'Group Profit &amp; Loss Stm'!F16/'Group Profit &amp; Loss Stm'!$F$8</f>
        <v>3.6393026567672911E-2</v>
      </c>
      <c r="G4" s="214">
        <f>'Group Profit &amp; Loss Stm'!H16/'Group Profit &amp; Loss Stm'!$H$8</f>
        <v>5.1766680577612842E-2</v>
      </c>
      <c r="H4" s="214">
        <f>'Group Profit &amp; Loss Stm'!I16/'Group Profit &amp; Loss Stm'!$I$8</f>
        <v>4.1915201644511686E-2</v>
      </c>
      <c r="I4" s="214">
        <f>'Group Profit &amp; Loss Stm'!J16/'Group Profit &amp; Loss Stm'!$J$8</f>
        <v>3.5693055943467625E-2</v>
      </c>
      <c r="J4" s="214">
        <f>'Group Profit &amp; Loss Stm'!K16/'Group Profit &amp; Loss Stm'!$K$8</f>
        <v>3.640223237681358E-2</v>
      </c>
      <c r="K4" s="214">
        <f>'Group Profit &amp; Loss Stm'!$M$16/'Group Profit &amp; Loss Stm'!$M$8</f>
        <v>4.4009902926728448E-2</v>
      </c>
      <c r="L4" s="214">
        <f>'Group Profit &amp; Loss Stm'!$N$16/'Group Profit &amp; Loss Stm'!$N$8</f>
        <v>3.7989672933361369E-2</v>
      </c>
      <c r="M4" s="214">
        <f>'Group Profit &amp; Loss Stm'!$O$16/'Group Profit &amp; Loss Stm'!$O$8</f>
        <v>3.3125341640986093E-2</v>
      </c>
    </row>
    <row r="5" spans="2:13" x14ac:dyDescent="0.2">
      <c r="B5" s="20" t="s">
        <v>183</v>
      </c>
      <c r="C5" s="214">
        <v>0.1191944670761533</v>
      </c>
      <c r="D5" s="214">
        <v>0.12267394038048969</v>
      </c>
      <c r="E5" s="214">
        <v>0.11162854256833539</v>
      </c>
      <c r="F5" s="214">
        <v>9.2863373116938347E-2</v>
      </c>
      <c r="G5" s="214">
        <v>0.11728283799012065</v>
      </c>
      <c r="H5" s="214">
        <v>0.10255493410220939</v>
      </c>
      <c r="I5" s="214">
        <v>9.9110944862207243E-2</v>
      </c>
      <c r="J5" s="214">
        <v>9.6755640701973594E-2</v>
      </c>
      <c r="K5" s="214">
        <v>0.10699506618275484</v>
      </c>
      <c r="L5" s="214">
        <v>0.10317486160973684</v>
      </c>
      <c r="M5" s="214">
        <v>9.9183019406549305E-2</v>
      </c>
    </row>
    <row r="6" spans="2:13" x14ac:dyDescent="0.2">
      <c r="B6" s="20" t="s">
        <v>266</v>
      </c>
      <c r="C6" s="214">
        <f>'Group Profit &amp; Loss Stm'!C34/'Group Profit &amp; Loss Stm'!$C$8</f>
        <v>3.2291342821030883E-2</v>
      </c>
      <c r="D6" s="214">
        <f>'Group Profit &amp; Loss Stm'!D34/'Group Profit &amp; Loss Stm'!$D$8</f>
        <v>4.1673589348427645E-2</v>
      </c>
      <c r="E6" s="214">
        <f>'Group Profit &amp; Loss Stm'!E34/'Group Profit &amp; Loss Stm'!$E$8</f>
        <v>4.6404006010658243E-2</v>
      </c>
      <c r="F6" s="214">
        <f>'Group Profit &amp; Loss Stm'!F34/'Group Profit &amp; Loss Stm'!$F$8</f>
        <v>2.8697306001383753E-2</v>
      </c>
      <c r="G6" s="214">
        <f>'Group Profit &amp; Loss Stm'!H34/'Group Profit &amp; Loss Stm'!$H$8</f>
        <v>3.264632357052049E-2</v>
      </c>
      <c r="H6" s="214">
        <f>'Group Profit &amp; Loss Stm'!I34/'Group Profit &amp; Loss Stm'!$I$8</f>
        <v>2.9387293737611783E-2</v>
      </c>
      <c r="I6" s="214">
        <f>'Group Profit &amp; Loss Stm'!J34/'Group Profit &amp; Loss Stm'!$J$8</f>
        <v>2.7795580377731208E-2</v>
      </c>
      <c r="J6" s="214">
        <f>'Group Profit &amp; Loss Stm'!K34/'Group Profit &amp; Loss Stm'!$K$8</f>
        <v>2.207274083079341E-2</v>
      </c>
      <c r="K6" s="214">
        <f>'Group Profit &amp; Loss Stm'!$M$34/'Group Profit &amp; Loss Stm'!$M$8</f>
        <v>1.6702107445637292E-2</v>
      </c>
      <c r="L6" s="214">
        <f>'Group Profit &amp; Loss Stm'!$N$34/'Group Profit &amp; Loss Stm'!$N$8</f>
        <v>1.3652107824654159E-2</v>
      </c>
      <c r="M6" s="214">
        <f>'Group Profit &amp; Loss Stm'!$O$34/'Group Profit &amp; Loss Stm'!$O$8</f>
        <v>7.143401159549076E-3</v>
      </c>
    </row>
    <row r="7" spans="2:13" x14ac:dyDescent="0.2">
      <c r="B7" s="20" t="s">
        <v>268</v>
      </c>
      <c r="C7" s="31">
        <f>'Group Profit &amp; Loss Stm'!C41</f>
        <v>7.5610180910859652E-3</v>
      </c>
      <c r="D7" s="31">
        <f>'Group Profit &amp; Loss Stm'!D41</f>
        <v>1.1236451004656702E-2</v>
      </c>
      <c r="E7" s="31">
        <f>'Group Profit &amp; Loss Stm'!E41</f>
        <v>5.8303305085484298E-3</v>
      </c>
      <c r="F7" s="31">
        <f>'Group Profit &amp; Loss Stm'!F41</f>
        <v>8.716669567325832E-3</v>
      </c>
      <c r="G7" s="31">
        <f>'Group Profit &amp; Loss Stm'!H41</f>
        <v>8.6467777389232711E-3</v>
      </c>
      <c r="H7" s="31">
        <f>'Group Profit &amp; Loss Stm'!I41</f>
        <v>8.2930991506991389E-3</v>
      </c>
      <c r="I7" s="31">
        <f>'Group Profit &amp; Loss Stm'!J41</f>
        <v>6.8683005087124801E-3</v>
      </c>
      <c r="J7" s="31">
        <f>'Group Profit &amp; Loss Stm'!K41</f>
        <v>6.1362524909414932E-3</v>
      </c>
      <c r="K7" s="31">
        <f>'Group Profit &amp; Loss Stm'!M41</f>
        <v>4.5134383129812397E-3</v>
      </c>
      <c r="L7" s="31">
        <f>'Group Profit &amp; Loss Stm'!N41</f>
        <v>3.6273127725515763E-3</v>
      </c>
      <c r="M7" s="31">
        <f>'Group Profit &amp; Loss Stm'!O41</f>
        <v>1.8550557940544804E-3</v>
      </c>
    </row>
    <row r="10" spans="2:13" x14ac:dyDescent="0.2">
      <c r="B10" s="177" t="s">
        <v>58</v>
      </c>
      <c r="C10" s="178">
        <v>2017</v>
      </c>
      <c r="D10" s="178">
        <v>2018</v>
      </c>
      <c r="E10" s="178">
        <v>2019</v>
      </c>
      <c r="F10" s="178">
        <v>2020</v>
      </c>
      <c r="G10" s="178">
        <v>2021</v>
      </c>
      <c r="H10" s="178">
        <v>2022</v>
      </c>
    </row>
    <row r="11" spans="2:13" x14ac:dyDescent="0.2">
      <c r="B11" s="71" t="s">
        <v>59</v>
      </c>
      <c r="C11" s="2">
        <v>0.16299979509596338</v>
      </c>
      <c r="D11" s="2">
        <v>0.16500034150672768</v>
      </c>
      <c r="E11" s="2">
        <v>0.16500000000885801</v>
      </c>
      <c r="F11" s="2">
        <f>'Group Profit &amp; Loss Stm'!F47</f>
        <v>0.13000000000697903</v>
      </c>
      <c r="G11" s="2">
        <f>'Group Profit &amp; Loss Stm'!G47</f>
        <v>0.13</v>
      </c>
      <c r="H11" s="241">
        <f>'Group Profit &amp; Loss Stm'!H47</f>
        <v>9.5334933401070077E-2</v>
      </c>
    </row>
    <row r="12" spans="2:13" x14ac:dyDescent="0.2">
      <c r="B12" s="71" t="s">
        <v>60</v>
      </c>
      <c r="C12" s="2">
        <v>0.54811333971828136</v>
      </c>
      <c r="D12" s="2">
        <v>0.49037725699554435</v>
      </c>
      <c r="E12" s="2">
        <v>0.48567852837348008</v>
      </c>
      <c r="F12" s="2">
        <f>'Group Profit &amp; Loss Stm'!F48</f>
        <v>0.71378800837877832</v>
      </c>
      <c r="G12" s="2">
        <f>'Group Profit &amp; Loss Stm'!G48</f>
        <v>0.84389534501584196</v>
      </c>
      <c r="H12" s="241">
        <f>'Group Profit &amp; Loss Stm'!H48</f>
        <v>0.84400000000000008</v>
      </c>
    </row>
    <row r="13" spans="2:13" x14ac:dyDescent="0.2">
      <c r="B13" s="23" t="s">
        <v>61</v>
      </c>
      <c r="C13" s="204">
        <v>0.16299999999999998</v>
      </c>
      <c r="D13" s="204">
        <v>0.16500000000000001</v>
      </c>
      <c r="E13" s="204">
        <v>0.16500000000000001</v>
      </c>
      <c r="F13" s="204">
        <f>'Group Profit &amp; Loss Stm'!F49</f>
        <v>0.13</v>
      </c>
      <c r="G13" s="204">
        <f>'Group Profit &amp; Loss Stm'!G49</f>
        <v>0.13</v>
      </c>
      <c r="H13" s="204">
        <f>'Group Profit &amp; Loss Stm'!H49</f>
        <v>9.5334933401070077E-2</v>
      </c>
    </row>
    <row r="16" spans="2:13" x14ac:dyDescent="0.2">
      <c r="B16" s="213" t="s">
        <v>263</v>
      </c>
      <c r="C16" s="213" t="s">
        <v>276</v>
      </c>
      <c r="D16" s="213" t="s">
        <v>168</v>
      </c>
      <c r="E16" s="213" t="s">
        <v>169</v>
      </c>
      <c r="F16" s="213" t="s">
        <v>273</v>
      </c>
      <c r="G16" s="213" t="s">
        <v>171</v>
      </c>
      <c r="H16" s="213" t="s">
        <v>172</v>
      </c>
      <c r="I16" s="213" t="s">
        <v>274</v>
      </c>
      <c r="J16" s="213" t="s">
        <v>283</v>
      </c>
      <c r="K16" s="213" t="s">
        <v>297</v>
      </c>
      <c r="L16" s="213" t="s">
        <v>302</v>
      </c>
      <c r="M16" s="213" t="s">
        <v>312</v>
      </c>
    </row>
    <row r="17" spans="2:13" x14ac:dyDescent="0.2">
      <c r="B17" s="20" t="s">
        <v>267</v>
      </c>
      <c r="C17" s="216">
        <v>0.56296818351863021</v>
      </c>
      <c r="D17" s="216">
        <v>0.60405321422514335</v>
      </c>
      <c r="E17" s="216">
        <v>0.54180898049493065</v>
      </c>
      <c r="F17" s="216">
        <v>0.47</v>
      </c>
      <c r="G17" s="216">
        <v>0.46822274462844077</v>
      </c>
      <c r="H17" s="216">
        <v>0.50170260453748983</v>
      </c>
      <c r="I17" s="216">
        <v>0.49113760549540303</v>
      </c>
      <c r="J17" s="216">
        <v>0.875</v>
      </c>
      <c r="K17" s="216">
        <v>0.85376440279652155</v>
      </c>
      <c r="L17" s="216">
        <v>0.88382467360853345</v>
      </c>
      <c r="M17" s="216">
        <v>0.86042505472614228</v>
      </c>
    </row>
    <row r="18" spans="2:13" x14ac:dyDescent="0.2">
      <c r="B18" s="20" t="s">
        <v>319</v>
      </c>
      <c r="C18" s="216">
        <v>0.25528426376103186</v>
      </c>
      <c r="D18" s="216">
        <v>0.26609696286792661</v>
      </c>
      <c r="E18" s="216">
        <v>0.21035090015015731</v>
      </c>
      <c r="F18" s="216">
        <v>0.11899999999999999</v>
      </c>
      <c r="G18" s="216">
        <v>0.12092285126692787</v>
      </c>
      <c r="H18" s="216">
        <v>0.11470692493252921</v>
      </c>
      <c r="I18" s="216">
        <v>0.11704386914430294</v>
      </c>
      <c r="J18" s="216">
        <v>0.501</v>
      </c>
      <c r="K18" s="216">
        <v>0.46793452540792224</v>
      </c>
      <c r="L18" s="216">
        <v>0.48116355213358836</v>
      </c>
      <c r="M18" s="216">
        <v>0.4731770226046208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B09D-8F59-4687-B8D2-95A4C8FAC1C0}">
  <dimension ref="B4:B16"/>
  <sheetViews>
    <sheetView showGridLines="0" workbookViewId="0">
      <selection activeCell="H23" sqref="H23"/>
    </sheetView>
  </sheetViews>
  <sheetFormatPr defaultColWidth="9.140625" defaultRowHeight="12.75" x14ac:dyDescent="0.2"/>
  <cols>
    <col min="1" max="1" width="9.140625" style="20"/>
    <col min="2" max="2" width="9.140625" style="167"/>
    <col min="3" max="16384" width="9.140625" style="20"/>
  </cols>
  <sheetData>
    <row r="4" spans="2:2" x14ac:dyDescent="0.2">
      <c r="B4" s="166" t="s">
        <v>8</v>
      </c>
    </row>
    <row r="8" spans="2:2" x14ac:dyDescent="0.2">
      <c r="B8" s="19" t="s">
        <v>9</v>
      </c>
    </row>
    <row r="9" spans="2:2" x14ac:dyDescent="0.2">
      <c r="B9" s="19" t="s">
        <v>10</v>
      </c>
    </row>
    <row r="10" spans="2:2" x14ac:dyDescent="0.2">
      <c r="B10" s="19" t="s">
        <v>11</v>
      </c>
    </row>
    <row r="11" spans="2:2" x14ac:dyDescent="0.2">
      <c r="B11" s="19" t="s">
        <v>12</v>
      </c>
    </row>
    <row r="12" spans="2:2" x14ac:dyDescent="0.2">
      <c r="B12" s="168" t="s">
        <v>13</v>
      </c>
    </row>
    <row r="13" spans="2:2" x14ac:dyDescent="0.2">
      <c r="B13" s="168" t="s">
        <v>14</v>
      </c>
    </row>
    <row r="14" spans="2:2" x14ac:dyDescent="0.2">
      <c r="B14" s="19" t="s">
        <v>15</v>
      </c>
    </row>
    <row r="15" spans="2:2" x14ac:dyDescent="0.2">
      <c r="B15" s="168" t="s">
        <v>16</v>
      </c>
    </row>
    <row r="16" spans="2:2" x14ac:dyDescent="0.2">
      <c r="B16" s="168" t="s">
        <v>17</v>
      </c>
    </row>
  </sheetData>
  <hyperlinks>
    <hyperlink ref="B8" location="'Group Profit &amp; Loss Stm'!A1" display="Income Statement" xr:uid="{5E77029C-D4B0-46F2-A567-1DDA09D60EFD}"/>
    <hyperlink ref="B9" location="'Group Balance Sheet'!A1" display="Balance Sheet" xr:uid="{EF42CBB8-3361-49C5-8312-EE6A036945FA}"/>
    <hyperlink ref="B10" location="'Group CF and CAPEX'!A1" display="Cashflow and Capex " xr:uid="{EFB99A7D-2BF4-47E8-AA75-A43E5A1E2DEA}"/>
    <hyperlink ref="B11" location="'Aramex Courier'!A1" display="Aramex Courier Product " xr:uid="{B2EF911D-3C6D-4DFB-86FC-BDFE2AD5BD16}"/>
    <hyperlink ref="B12" location="'Aramex Freight'!A1" display="Aramex Freight Product" xr:uid="{5E637270-6392-4993-A721-9CFED8ECAA03}"/>
    <hyperlink ref="B13" location="'Aramex Logistics'!A1" display="Aramex Logistics Product" xr:uid="{2C25CBA1-856C-49A6-BAC4-242B1B96DE49}"/>
    <hyperlink ref="B14" location="'Regional Breakdown'!A1" display="Regional Breakdown" xr:uid="{F61F82BE-0B45-4964-AAF8-19A0A950DC76}"/>
    <hyperlink ref="B15" location="Historic_Product_Breakdown!A1" display="Historic Product Breakdown Key Financials" xr:uid="{49083360-0C32-490F-B6A2-1F03951C06F7}"/>
    <hyperlink ref="B16" location="'Historic Express Rev_Vol_ Data'!A1" display="Historic Express Volume Data " xr:uid="{5C361A7C-BA0D-4CA0-85CC-C88649AD6A8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2C2E-26A6-42AF-B17B-CE7FE55CFB4A}">
  <dimension ref="A1:X49"/>
  <sheetViews>
    <sheetView showGridLines="0" workbookViewId="0">
      <pane xSplit="2" ySplit="7" topLeftCell="C34" activePane="bottomRight" state="frozen"/>
      <selection pane="topRight" activeCell="C1" sqref="C1"/>
      <selection pane="bottomLeft" activeCell="A8" sqref="A8"/>
      <selection pane="bottomRight" activeCell="S6" sqref="S6"/>
    </sheetView>
  </sheetViews>
  <sheetFormatPr defaultColWidth="9.140625" defaultRowHeight="12.75" x14ac:dyDescent="0.2"/>
  <cols>
    <col min="1" max="1" width="4.85546875" style="20" customWidth="1"/>
    <col min="2" max="2" width="66.85546875" style="20" customWidth="1"/>
    <col min="3" max="5" width="10" style="20" bestFit="1" customWidth="1"/>
    <col min="6" max="6" width="10" style="20" customWidth="1"/>
    <col min="7" max="8" width="10" style="20" bestFit="1" customWidth="1"/>
    <col min="9" max="12" width="10" style="20" customWidth="1"/>
    <col min="13" max="15" width="10" style="20" bestFit="1" customWidth="1"/>
    <col min="16" max="16" width="12.85546875" style="20" bestFit="1" customWidth="1"/>
    <col min="17" max="17" width="11.140625" style="20" customWidth="1"/>
    <col min="18" max="18" width="9.140625" style="20" customWidth="1"/>
    <col min="19" max="19" width="11.7109375" style="20" bestFit="1" customWidth="1"/>
    <col min="20" max="16384" width="9.140625" style="20"/>
  </cols>
  <sheetData>
    <row r="1" spans="1:24" x14ac:dyDescent="0.2">
      <c r="A1" s="163">
        <f>'2023 IR Data Book'!$A$5</f>
        <v>0.27228666339922669</v>
      </c>
    </row>
    <row r="3" spans="1:24" ht="15.75" x14ac:dyDescent="0.25">
      <c r="B3" s="131" t="s">
        <v>18</v>
      </c>
    </row>
    <row r="5" spans="1:24" x14ac:dyDescent="0.2">
      <c r="B5" s="125" t="s">
        <v>290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262" t="s">
        <v>19</v>
      </c>
      <c r="Q5" s="262"/>
    </row>
    <row r="6" spans="1:24" x14ac:dyDescent="0.2">
      <c r="B6" s="127"/>
      <c r="C6" s="128" t="s">
        <v>20</v>
      </c>
      <c r="D6" s="128" t="s">
        <v>21</v>
      </c>
      <c r="E6" s="128" t="s">
        <v>22</v>
      </c>
      <c r="F6" s="128" t="s">
        <v>23</v>
      </c>
      <c r="G6" s="128" t="s">
        <v>24</v>
      </c>
      <c r="H6" s="128" t="s">
        <v>25</v>
      </c>
      <c r="I6" s="128" t="s">
        <v>26</v>
      </c>
      <c r="J6" s="128" t="s">
        <v>260</v>
      </c>
      <c r="K6" s="128" t="s">
        <v>279</v>
      </c>
      <c r="L6" s="128" t="s">
        <v>284</v>
      </c>
      <c r="M6" s="128" t="s">
        <v>286</v>
      </c>
      <c r="N6" s="128" t="s">
        <v>300</v>
      </c>
      <c r="O6" s="128" t="s">
        <v>306</v>
      </c>
      <c r="P6" s="129" t="s">
        <v>307</v>
      </c>
      <c r="Q6" s="128" t="s">
        <v>27</v>
      </c>
    </row>
    <row r="7" spans="1:24" ht="15" x14ac:dyDescent="0.25">
      <c r="B7" s="21" t="s">
        <v>28</v>
      </c>
    </row>
    <row r="8" spans="1:24" x14ac:dyDescent="0.2">
      <c r="B8" s="22" t="s">
        <v>29</v>
      </c>
      <c r="C8" s="28">
        <f>((1424933))*('2023 IR Data Book'!$A$5)</f>
        <v>387990.25213745027</v>
      </c>
      <c r="D8" s="28">
        <f>(1570923)*('2023 IR Data Book'!$A$5)</f>
        <v>427741.3821271034</v>
      </c>
      <c r="E8" s="28">
        <f>(1461404)*('2023 IR Data Book'!$A$5)</f>
        <v>397920.81903828349</v>
      </c>
      <c r="F8" s="28">
        <f>G8-C8-D8-E8</f>
        <v>438802.21096770681</v>
      </c>
      <c r="G8" s="28">
        <f>(6068805)*('2023 IR Data Book'!$A$5)</f>
        <v>1652454.664270544</v>
      </c>
      <c r="H8" s="28">
        <f>(1448931.82909692)*('2023 IR Data Book'!$A$5)</f>
        <v>394524.81323773891</v>
      </c>
      <c r="I8" s="28">
        <f>(1516588.75107447)*('2023 IR Data Book'!$A$5)</f>
        <v>412946.89077886782</v>
      </c>
      <c r="J8" s="28">
        <f>1426250.44629083*('2023 IR Data Book'!$A$5)</f>
        <v>388348.97519218805</v>
      </c>
      <c r="K8" s="28">
        <f>L8-H8-I8-J8</f>
        <v>417751.41682623746</v>
      </c>
      <c r="L8" s="28">
        <f>5926004.87989826*('2023 IR Data Book'!$A$5)</f>
        <v>1613572.0960350323</v>
      </c>
      <c r="M8" s="28">
        <f>1431496*('2023 IR Data Book'!$A$5)</f>
        <v>389777.26950933941</v>
      </c>
      <c r="N8" s="28">
        <f>1388839.25356387*((('2023 IR Data Book'!$A$5)))</f>
        <v>378162.40635077871</v>
      </c>
      <c r="O8" s="28">
        <f>1349677.80025126*((('2023 IR Data Book'!$A$5)))</f>
        <v>367499.26489442354</v>
      </c>
      <c r="P8" s="28">
        <f t="shared" ref="P8:P16" si="0">O8-J8</f>
        <v>-20849.710297764512</v>
      </c>
      <c r="Q8" s="32">
        <f t="shared" ref="Q8:Q13" si="1">P8/J8</f>
        <v>-5.3688078583048415E-2</v>
      </c>
    </row>
    <row r="9" spans="1:24" x14ac:dyDescent="0.2">
      <c r="B9" s="22" t="s">
        <v>30</v>
      </c>
      <c r="C9" s="28">
        <f>-1066286*('2023 IR Data Book'!$A$5)</f>
        <v>-290335.4571693078</v>
      </c>
      <c r="D9" s="28">
        <f>-1182258*('2023 IR Data Book'!$A$5)</f>
        <v>-321913.08609704295</v>
      </c>
      <c r="E9" s="28">
        <f>-1105324*('2023 IR Data Book'!$A$5)</f>
        <v>-300964.98393508687</v>
      </c>
      <c r="F9" s="28">
        <f>G9-C9-D9-E9</f>
        <v>-349635.13587104494</v>
      </c>
      <c r="G9" s="28">
        <f>(-4637938)*('2023 IR Data Book'!$A$5)</f>
        <v>-1262848.6630724827</v>
      </c>
      <c r="H9" s="28">
        <f>-1104831.60806885*('2023 IR Data Book'!$A$5)</f>
        <v>-300830.9121790693</v>
      </c>
      <c r="I9" s="28">
        <f>-1137965.97137327*('2023 IR Data Book'!$A$5)</f>
        <v>-309852.95740708761</v>
      </c>
      <c r="J9" s="28">
        <f>-1105423.3538419*('2023 IR Data Book'!$A$5)</f>
        <v>-300992.03666119365</v>
      </c>
      <c r="K9" s="28">
        <f>L9-H9-I9-J9</f>
        <v>-314077.16937378986</v>
      </c>
      <c r="L9" s="28">
        <f>-4501700.7455262*('2023 IR Data Book'!$A$5)</f>
        <v>-1225753.0756211404</v>
      </c>
      <c r="M9" s="28">
        <f>-1073496*('2023 IR Data Book'!$A$5)</f>
        <v>-292298.64401241625</v>
      </c>
      <c r="N9" s="28">
        <f>-1043293.30478205*((('2023 IR Data Book'!$A$5)))</f>
        <v>-284074.85290585685</v>
      </c>
      <c r="O9" s="28">
        <f>-1015021.29515526*((('2023 IR Data Book'!$A$5)))</f>
        <v>-276376.76173698739</v>
      </c>
      <c r="P9" s="35">
        <f t="shared" si="0"/>
        <v>24615.274924206256</v>
      </c>
      <c r="Q9" s="36">
        <f t="shared" si="1"/>
        <v>-8.1780485614355317E-2</v>
      </c>
    </row>
    <row r="10" spans="1:24" x14ac:dyDescent="0.2">
      <c r="B10" s="23" t="s">
        <v>31</v>
      </c>
      <c r="C10" s="29">
        <f>C8+C9</f>
        <v>97654.794968142465</v>
      </c>
      <c r="D10" s="29">
        <f>D8+D9</f>
        <v>105828.29603006045</v>
      </c>
      <c r="E10" s="29">
        <f t="shared" ref="E10:G10" si="2">E8+E9</f>
        <v>96955.835103196616</v>
      </c>
      <c r="F10" s="29">
        <f t="shared" si="2"/>
        <v>89167.075096661865</v>
      </c>
      <c r="G10" s="29">
        <f t="shared" si="2"/>
        <v>389606.00119806128</v>
      </c>
      <c r="H10" s="29">
        <f t="shared" ref="H10:N10" si="3">H8+H9</f>
        <v>93693.901058669609</v>
      </c>
      <c r="I10" s="29">
        <f t="shared" si="3"/>
        <v>103093.93337178021</v>
      </c>
      <c r="J10" s="29">
        <f t="shared" si="3"/>
        <v>87356.938530994405</v>
      </c>
      <c r="K10" s="29">
        <f t="shared" si="3"/>
        <v>103674.2474524476</v>
      </c>
      <c r="L10" s="29">
        <f t="shared" si="3"/>
        <v>387819.02041389188</v>
      </c>
      <c r="M10" s="29">
        <f t="shared" si="3"/>
        <v>97478.625496923167</v>
      </c>
      <c r="N10" s="29">
        <f t="shared" si="3"/>
        <v>94087.553444921854</v>
      </c>
      <c r="O10" s="29">
        <f t="shared" ref="O10" si="4">O8+O9</f>
        <v>91122.503157436149</v>
      </c>
      <c r="P10" s="28">
        <f t="shared" si="0"/>
        <v>3765.5646264417446</v>
      </c>
      <c r="Q10" s="32">
        <f t="shared" si="1"/>
        <v>4.3105501288895502E-2</v>
      </c>
      <c r="T10" s="28"/>
      <c r="V10" s="242"/>
      <c r="X10" s="28"/>
    </row>
    <row r="11" spans="1:24" x14ac:dyDescent="0.2">
      <c r="B11" s="22" t="s">
        <v>32</v>
      </c>
      <c r="C11" s="28">
        <f>-67400*('2023 IR Data Book'!$A$5)</f>
        <v>-18352.121113107878</v>
      </c>
      <c r="D11" s="28">
        <f>-77114*('2023 IR Data Book'!$A$5)</f>
        <v>-20997.113761367968</v>
      </c>
      <c r="E11" s="28">
        <f>-62964*('2023 IR Data Book'!$A$5)</f>
        <v>-17144.25747426891</v>
      </c>
      <c r="F11" s="28">
        <f t="shared" ref="F11:F14" si="5">G11-C11-D11-E11</f>
        <v>-17706.801720851712</v>
      </c>
      <c r="G11" s="28">
        <f>(-272508)*('2023 IR Data Book'!$A$5)</f>
        <v>-74200.294069596464</v>
      </c>
      <c r="H11" s="28">
        <f>-58785.3492673848*('2023 IR Data Book'!$A$5)</f>
        <v>-16006.466608774383</v>
      </c>
      <c r="I11" s="28">
        <f>-65139.864353484*('2023 IR Data Book'!$A$5)</f>
        <v>-17736.716319088384</v>
      </c>
      <c r="J11" s="28">
        <f>-62179.9677381306*('2023 IR Data Book'!$A$5)</f>
        <v>-16930.775945687143</v>
      </c>
      <c r="K11" s="28">
        <f>L11-H11-I11-J11</f>
        <v>-19476.848764515758</v>
      </c>
      <c r="L11" s="28">
        <f>-257635.85613156*('2023 IR Data Book'!$A$5)</f>
        <v>-70150.807638065671</v>
      </c>
      <c r="M11" s="28">
        <f>-71390*('2023 IR Data Book'!$A$5)</f>
        <v>-19438.544900070792</v>
      </c>
      <c r="N11" s="28">
        <f>-79755.3704061832*((('2023 IR Data Book'!$A$5)))</f>
        <v>-21716.323696069048</v>
      </c>
      <c r="O11" s="28">
        <f>-76695.9071356232*((('2023 IR Data Book'!$A$5)))</f>
        <v>-20883.272650335784</v>
      </c>
      <c r="P11" s="28">
        <f t="shared" si="0"/>
        <v>-3952.4967046486418</v>
      </c>
      <c r="Q11" s="32">
        <f t="shared" si="1"/>
        <v>0.23345041699966976</v>
      </c>
    </row>
    <row r="12" spans="1:24" x14ac:dyDescent="0.2">
      <c r="B12" s="24" t="s">
        <v>33</v>
      </c>
      <c r="C12" s="28">
        <f>-3646*('2023 IR Data Book'!$A$5)</f>
        <v>-992.75717475358056</v>
      </c>
      <c r="D12" s="28">
        <f>-5016*('2023 IR Data Book'!$A$5)</f>
        <v>-1365.7899036105212</v>
      </c>
      <c r="E12" s="28">
        <f>-6363*('2023 IR Data Book'!$A$5)</f>
        <v>-1732.5600392092795</v>
      </c>
      <c r="F12" s="28">
        <f t="shared" si="5"/>
        <v>-414.42030169362329</v>
      </c>
      <c r="G12" s="28">
        <f>(-15635-912)*('2023 IR Data Book'!$A$5)</f>
        <v>-4505.527419267004</v>
      </c>
      <c r="H12" s="28">
        <f>-4547.01664062866*('2023 IR Data Book'!$A$5)</f>
        <v>-1238.0919894975384</v>
      </c>
      <c r="I12" s="28">
        <f>-4758.01804787734*('2023 IR Data Book'!$A$5)</f>
        <v>-1295.544858649823</v>
      </c>
      <c r="J12" s="28">
        <f>-4518.9367594406*('2023 IR Data Book'!$A$5)</f>
        <v>-1230.446212340195</v>
      </c>
      <c r="K12" s="28">
        <f>L12-H12-I12-J12</f>
        <v>-619.10218289342697</v>
      </c>
      <c r="L12" s="28">
        <f>-16097.686124841*(('2023 IR Data Book'!$A$5))</f>
        <v>-4383.1852433809836</v>
      </c>
      <c r="M12" s="28">
        <f>-12899*('2023 IR Data Book'!$A$5)</f>
        <v>-3512.2256711866253</v>
      </c>
      <c r="N12" s="28">
        <f>-611.305297781729*((('2023 IR Data Book'!$A$5)))</f>
        <v>-166.45027985125768</v>
      </c>
      <c r="O12" s="28">
        <f>-2404.71521328254*((('2023 IR Data Book'!$A$5)))</f>
        <v>-654.77188185006253</v>
      </c>
      <c r="P12" s="28">
        <f t="shared" si="0"/>
        <v>575.67433049013243</v>
      </c>
      <c r="Q12" s="32">
        <f t="shared" si="1"/>
        <v>-0.46785818406092944</v>
      </c>
      <c r="S12" s="28"/>
      <c r="T12" s="28"/>
      <c r="V12" s="242"/>
      <c r="X12" s="28"/>
    </row>
    <row r="13" spans="1:24" x14ac:dyDescent="0.2">
      <c r="B13" s="24" t="s">
        <v>34</v>
      </c>
      <c r="C13" s="28">
        <f>-216289*('2023 IR Data Book'!$A$5)</f>
        <v>-58892.610139955344</v>
      </c>
      <c r="D13" s="28">
        <f>-213497*('2023 IR Data Book'!$A$5)</f>
        <v>-58132.385775744704</v>
      </c>
      <c r="E13" s="28">
        <f>-220767*('2023 IR Data Book'!$A$5)</f>
        <v>-60111.909818657077</v>
      </c>
      <c r="F13" s="28">
        <f t="shared" si="5"/>
        <v>-64559.440178620032</v>
      </c>
      <c r="G13" s="28">
        <f>-887654*('2023 IR Data Book'!$A$5)</f>
        <v>-241696.34591297718</v>
      </c>
      <c r="H13" s="28">
        <f>-214112.877240882*('2023 IR Data Book'!$A$5)</f>
        <v>-58300.080934727979</v>
      </c>
      <c r="I13" s="28">
        <f>-234187.438032882*('2023 IR Data Book'!$A$5)</f>
        <v>-63766.116111986601</v>
      </c>
      <c r="J13" s="28">
        <f>-213023.336177279*('2023 IR Data Book'!$A$5)</f>
        <v>-58003.413433883077</v>
      </c>
      <c r="K13" s="28">
        <f>L13-H13-I13-J13</f>
        <v>-67070.835866250884</v>
      </c>
      <c r="L13" s="28">
        <f>-907648.003253436*(('2023 IR Data Book'!$A$5))</f>
        <v>-247140.44634684853</v>
      </c>
      <c r="M13" s="28">
        <f>-209421*('2023 IR Data Book'!$A$5)</f>
        <v>-57022.545335729454</v>
      </c>
      <c r="N13" s="28">
        <f>-213482.289965244*((('2023 IR Data Book'!$A$5)))</f>
        <v>-58128.380429462508</v>
      </c>
      <c r="O13" s="28">
        <f>-209415.097211414*((('2023 IR Data Book'!$A$5)))</f>
        <v>-57020.938085120615</v>
      </c>
      <c r="P13" s="28">
        <f t="shared" si="0"/>
        <v>982.47534876246209</v>
      </c>
      <c r="Q13" s="32">
        <f t="shared" si="1"/>
        <v>-1.6938233296948393E-2</v>
      </c>
      <c r="S13" s="28"/>
      <c r="T13" s="28"/>
      <c r="V13" s="242"/>
      <c r="X13" s="28"/>
    </row>
    <row r="14" spans="1:24" x14ac:dyDescent="0.2">
      <c r="B14" s="20" t="s">
        <v>35</v>
      </c>
      <c r="C14" s="28">
        <f>0*('2023 IR Data Book'!$A$5)</f>
        <v>0</v>
      </c>
      <c r="D14" s="28">
        <f>0*('2023 IR Data Book'!$A$5)</f>
        <v>0</v>
      </c>
      <c r="E14" s="28">
        <f>6611*('2023 IR Data Book'!$A$5)</f>
        <v>1800.0871317322876</v>
      </c>
      <c r="F14" s="28">
        <f t="shared" si="5"/>
        <v>7366.987964929478</v>
      </c>
      <c r="G14" s="28">
        <f>33667*('2023 IR Data Book'!$A$5)</f>
        <v>9167.0750966617652</v>
      </c>
      <c r="H14" s="28">
        <f>0*('2023 IR Data Book'!$A$5)</f>
        <v>0</v>
      </c>
      <c r="I14" s="28">
        <f>0*('2023 IR Data Book'!$A$5)</f>
        <v>0</v>
      </c>
      <c r="J14" s="28">
        <v>0</v>
      </c>
      <c r="K14" s="28">
        <f>L14-H14-I14-J14</f>
        <v>351.49799999999999</v>
      </c>
      <c r="L14" s="28">
        <f>1290.9115548*(('2023 IR Data Book'!$A$5))</f>
        <v>351.49799999999999</v>
      </c>
      <c r="M14" s="28">
        <v>0</v>
      </c>
      <c r="N14" s="28">
        <f>0*((('2023 IR Data Book'!$A$5)))</f>
        <v>0</v>
      </c>
      <c r="O14" s="28">
        <f>0*((('2023 IR Data Book'!$A$5)))</f>
        <v>0</v>
      </c>
      <c r="P14" s="28">
        <f t="shared" si="0"/>
        <v>0</v>
      </c>
      <c r="Q14" s="32"/>
      <c r="V14" s="242"/>
      <c r="X14" s="28"/>
    </row>
    <row r="15" spans="1:24" x14ac:dyDescent="0.2">
      <c r="B15" s="24" t="s">
        <v>36</v>
      </c>
      <c r="C15" s="28">
        <f>8143*('2023 IR Data Book'!$A$5)</f>
        <v>2217.2303000599031</v>
      </c>
      <c r="D15" s="28">
        <f>6514*('2023 IR Data Book'!$A$5)</f>
        <v>1773.6753253825627</v>
      </c>
      <c r="E15" s="28">
        <f>(-4579)*('2023 IR Data Book'!$A$5)</f>
        <v>-1246.800631705059</v>
      </c>
      <c r="F15" s="28">
        <f>G15-C15-D15-E15</f>
        <v>2115.9396612753903</v>
      </c>
      <c r="G15" s="28">
        <f>(17849)*('2023 IR Data Book'!$A$5)</f>
        <v>4860.0446550127972</v>
      </c>
      <c r="H15" s="28">
        <f>8351.413296422*('2023 IR Data Book'!$A$5)</f>
        <v>2273.9784611506834</v>
      </c>
      <c r="I15" s="35">
        <f>-10969.3359538721*('2023 IR Data Book'!$A$5)</f>
        <v>-2986.8038865850076</v>
      </c>
      <c r="J15" s="35">
        <f>9802.38519477437*('2023 IR Data Book'!$A$5)</f>
        <v>2669.058758039092</v>
      </c>
      <c r="K15" s="35">
        <f>L15-H15-I15-J15</f>
        <v>-1651.8744877357187</v>
      </c>
      <c r="L15" s="35">
        <f>1117.78829366607*(('2023 IR Data Book'!$A$5))</f>
        <v>304.35884486904916</v>
      </c>
      <c r="M15" s="35">
        <f>-1290*('2023 IR Data Book'!$A$5)</f>
        <v>-351.24979578500245</v>
      </c>
      <c r="N15" s="35">
        <f>1064.56588729404*((('2023 IR Data Book'!$A$5)))</f>
        <v>289.86709341993139</v>
      </c>
      <c r="O15" s="35">
        <f>-1432.24729710274*((('2023 IR Data Book'!$A$5)))</f>
        <v>-389.981837690666</v>
      </c>
      <c r="P15" s="35">
        <f t="shared" si="0"/>
        <v>-3059.040595729758</v>
      </c>
      <c r="Q15" s="36">
        <f>P15/J15</f>
        <v>-1.1461121215544834</v>
      </c>
      <c r="V15" s="242"/>
      <c r="X15" s="28"/>
    </row>
    <row r="16" spans="1:24" x14ac:dyDescent="0.2">
      <c r="B16" s="25" t="s">
        <v>37</v>
      </c>
      <c r="C16" s="29">
        <f t="shared" ref="C16:I16" si="6">SUM(C10:C15)</f>
        <v>21634.536840385565</v>
      </c>
      <c r="D16" s="29">
        <f t="shared" si="6"/>
        <v>27106.681914719808</v>
      </c>
      <c r="E16" s="29">
        <f t="shared" si="6"/>
        <v>18520.394271088589</v>
      </c>
      <c r="F16" s="29">
        <f t="shared" si="6"/>
        <v>15969.340521701366</v>
      </c>
      <c r="G16" s="29">
        <f t="shared" si="6"/>
        <v>83230.953547895217</v>
      </c>
      <c r="H16" s="29">
        <f t="shared" si="6"/>
        <v>20423.239986820394</v>
      </c>
      <c r="I16" s="34">
        <f t="shared" si="6"/>
        <v>17308.752195470388</v>
      </c>
      <c r="J16" s="34">
        <f t="shared" ref="J16:K16" si="7">SUM(J10:J15)</f>
        <v>13861.361697123088</v>
      </c>
      <c r="K16" s="34">
        <f t="shared" si="7"/>
        <v>15207.084151051806</v>
      </c>
      <c r="L16" s="34">
        <f t="shared" ref="L16:N16" si="8">SUM(L10:L15)</f>
        <v>66800.438030465783</v>
      </c>
      <c r="M16" s="34">
        <f t="shared" si="8"/>
        <v>17154.059794151301</v>
      </c>
      <c r="N16" s="34">
        <f t="shared" si="8"/>
        <v>14366.266132958981</v>
      </c>
      <c r="O16" s="34">
        <f t="shared" ref="O16" si="9">SUM(O10:O15)</f>
        <v>12173.538702439026</v>
      </c>
      <c r="P16" s="28">
        <f t="shared" si="0"/>
        <v>-1687.822994684062</v>
      </c>
      <c r="Q16" s="32">
        <f>P16/J16</f>
        <v>-0.12176458789285963</v>
      </c>
      <c r="T16" s="28"/>
    </row>
    <row r="17" spans="2:20" x14ac:dyDescent="0.2">
      <c r="B17" s="2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2"/>
    </row>
    <row r="18" spans="2:20" x14ac:dyDescent="0.2">
      <c r="B18" s="22" t="s">
        <v>38</v>
      </c>
      <c r="C18" s="28">
        <f>2247*('2023 IR Data Book'!$A$5)</f>
        <v>611.82813265806237</v>
      </c>
      <c r="D18" s="28">
        <f>1426*('2023 IR Data Book'!$A$5)</f>
        <v>388.28078200729726</v>
      </c>
      <c r="E18" s="28">
        <f>1374*('2023 IR Data Book'!$A$5)</f>
        <v>374.12187551053745</v>
      </c>
      <c r="F18" s="28">
        <f t="shared" ref="F18:F20" si="10">G18-C18-D18-E18</f>
        <v>370.037575559549</v>
      </c>
      <c r="G18" s="28">
        <f>6406*('2023 IR Data Book'!$A$5)</f>
        <v>1744.2683657354462</v>
      </c>
      <c r="H18" s="28">
        <f>991.01122253691*('2023 IR Data Book'!$A$5)</f>
        <v>269.83913917576376</v>
      </c>
      <c r="I18" s="28">
        <f>1005.15436493052*('2023 IR Data Book'!$A$5)</f>
        <v>273.69012822809998</v>
      </c>
      <c r="J18" s="28">
        <f>763.151258181049*('2023 IR Data Book'!$A$5)</f>
        <v>207.79590975903963</v>
      </c>
      <c r="K18" s="28">
        <f>L18-H18-I18-J18</f>
        <v>591.8080705693543</v>
      </c>
      <c r="L18" s="28">
        <f>4932.79116562149*(('2023 IR Data Book'!$A$5))</f>
        <v>1343.1332477322578</v>
      </c>
      <c r="M18" s="28">
        <f>2436*('2023 IR Data Book'!$A$5)</f>
        <v>663.29031204051626</v>
      </c>
      <c r="N18" s="28">
        <f>1849.42847834543*((('2023 IR Data Book'!$A$5)))</f>
        <v>503.57470956418609</v>
      </c>
      <c r="O18" s="28">
        <f>1372.25532887207*((('2023 IR Data Book'!$A$5)))</f>
        <v>373.6468248303845</v>
      </c>
      <c r="P18" s="28">
        <f t="shared" ref="P18:P23" si="11">O18-J18</f>
        <v>165.85091507134487</v>
      </c>
      <c r="Q18" s="32">
        <f t="shared" ref="Q18:Q23" si="12">P18/J18</f>
        <v>0.79814330928681787</v>
      </c>
    </row>
    <row r="19" spans="2:20" x14ac:dyDescent="0.2">
      <c r="B19" s="22" t="s">
        <v>39</v>
      </c>
      <c r="C19" s="28">
        <f>-15290*('2023 IR Data Book'!$A$5)</f>
        <v>-4163.2630833741759</v>
      </c>
      <c r="D19" s="28">
        <f>-15364*('2023 IR Data Book'!$A$5)</f>
        <v>-4183.412296465719</v>
      </c>
      <c r="E19" s="28">
        <f>-15494*('2023 IR Data Book'!$A$5)</f>
        <v>-4218.8095627076182</v>
      </c>
      <c r="F19" s="28">
        <f t="shared" si="10"/>
        <v>-3795.6760877852203</v>
      </c>
      <c r="G19" s="28">
        <f>-60088*('2023 IR Data Book'!$A$5)</f>
        <v>-16361.161030332734</v>
      </c>
      <c r="H19" s="28">
        <f>-12840.3882239414*('2023 IR Data Book'!$A$5)</f>
        <v>-3496.2664662477259</v>
      </c>
      <c r="I19" s="28">
        <f>-15376.8808591112*('2023 IR Data Book'!$A$5)</f>
        <v>-4186.9195826148225</v>
      </c>
      <c r="J19" s="28">
        <f>-16307.2683124092*('2023 IR Data Book'!$A$5)</f>
        <v>-4440.2516779418393</v>
      </c>
      <c r="K19" s="28">
        <f>L19-H19-I19-J19</f>
        <v>-7691.7741218541369</v>
      </c>
      <c r="L19" s="28">
        <f>-72773.3470353833*(('2023 IR Data Book'!$A$5))</f>
        <v>-19815.211848658524</v>
      </c>
      <c r="M19" s="28">
        <f>-30466*('2023 IR Data Book'!$A$5)</f>
        <v>-8295.4854871208408</v>
      </c>
      <c r="N19" s="28">
        <f>-32581.7075606479*((('2023 IR Data Book'!$A$5)))</f>
        <v>-8871.5644395381751</v>
      </c>
      <c r="O19" s="28">
        <f>-32564.1677909506*((('2023 IR Data Book'!$A$5)))</f>
        <v>-8866.7885941705063</v>
      </c>
      <c r="P19" s="28">
        <f t="shared" si="11"/>
        <v>-4426.536916228667</v>
      </c>
      <c r="Q19" s="32">
        <f t="shared" si="12"/>
        <v>0.99691126478679037</v>
      </c>
    </row>
    <row r="20" spans="2:20" x14ac:dyDescent="0.2">
      <c r="B20" s="26" t="s">
        <v>40</v>
      </c>
      <c r="C20" s="28">
        <f>2685*('2023 IR Data Book'!$A$5)</f>
        <v>731.08969122692372</v>
      </c>
      <c r="D20" s="28">
        <f>4608*('2023 IR Data Book'!$A$5)</f>
        <v>1254.6969449436365</v>
      </c>
      <c r="E20" s="28">
        <f>1911*('2023 IR Data Book'!$A$5)</f>
        <v>520.33981375592225</v>
      </c>
      <c r="F20" s="28">
        <f t="shared" si="10"/>
        <v>279.91068997440539</v>
      </c>
      <c r="G20" s="28">
        <f>10232*('2023 IR Data Book'!$A$5)</f>
        <v>2786.0371399008877</v>
      </c>
      <c r="H20" s="28">
        <f>3555.9604193588*('2023 IR Data Book'!$A$5)</f>
        <v>968.24059776692263</v>
      </c>
      <c r="I20" s="28">
        <f>4164.24552562748*('2023 IR Data Book'!$A$5)</f>
        <v>1133.8685197482655</v>
      </c>
      <c r="J20" s="28">
        <f>944.488232574719*(('2023 IR Data Book'!$A$5))</f>
        <v>257.17154946760303</v>
      </c>
      <c r="K20" s="28">
        <f>L20-H20-I20-J20</f>
        <v>146.70218869543913</v>
      </c>
      <c r="L20" s="28">
        <f>9203.47263576387*(('2023 IR Data Book'!$A$5))</f>
        <v>2505.9828556782304</v>
      </c>
      <c r="M20" s="28">
        <f>490*(('2023 IR Data Book'!$A$5))</f>
        <v>133.42046506562107</v>
      </c>
      <c r="N20" s="28">
        <f>1966.87130717546*((('2023 IR Data Book'!$A$5)))</f>
        <v>535.55282556648149</v>
      </c>
      <c r="O20" s="28">
        <f>1830.99104607217*((('2023 IR Data Book'!$A$5)))</f>
        <v>498.55444264885097</v>
      </c>
      <c r="P20" s="35">
        <f t="shared" si="11"/>
        <v>241.38289318124794</v>
      </c>
      <c r="Q20" s="36">
        <f t="shared" si="12"/>
        <v>0.9386065203595001</v>
      </c>
    </row>
    <row r="21" spans="2:20" x14ac:dyDescent="0.2">
      <c r="B21" s="23" t="s">
        <v>41</v>
      </c>
      <c r="C21" s="29">
        <f>SUM(C16:C20)</f>
        <v>18814.191580896375</v>
      </c>
      <c r="D21" s="29">
        <f t="shared" ref="D21:I21" si="13">SUM(D16:D20)</f>
        <v>24566.247345205022</v>
      </c>
      <c r="E21" s="29">
        <f t="shared" si="13"/>
        <v>15196.046397647429</v>
      </c>
      <c r="F21" s="29">
        <f t="shared" si="13"/>
        <v>12823.612699450101</v>
      </c>
      <c r="G21" s="29">
        <f t="shared" si="13"/>
        <v>71400.098023198821</v>
      </c>
      <c r="H21" s="29">
        <f t="shared" si="13"/>
        <v>18165.053257515356</v>
      </c>
      <c r="I21" s="29">
        <f t="shared" si="13"/>
        <v>14529.39126083193</v>
      </c>
      <c r="J21" s="29">
        <f t="shared" ref="J21:K21" si="14">SUM(J16:J20)</f>
        <v>9886.0774784078894</v>
      </c>
      <c r="K21" s="29">
        <f t="shared" si="14"/>
        <v>8253.8202884624625</v>
      </c>
      <c r="L21" s="29">
        <f t="shared" ref="L21:N21" si="15">SUM(L16:L20)</f>
        <v>50834.342285217746</v>
      </c>
      <c r="M21" s="29">
        <f t="shared" si="15"/>
        <v>9655.285084136598</v>
      </c>
      <c r="N21" s="29">
        <f t="shared" si="15"/>
        <v>6533.8292285514726</v>
      </c>
      <c r="O21" s="29">
        <f t="shared" ref="O21" si="16">SUM(O16:O20)</f>
        <v>4178.9513757477553</v>
      </c>
      <c r="P21" s="37">
        <f t="shared" si="11"/>
        <v>-5707.1261026601342</v>
      </c>
      <c r="Q21" s="38">
        <f t="shared" si="12"/>
        <v>-0.57728923479762595</v>
      </c>
    </row>
    <row r="22" spans="2:20" x14ac:dyDescent="0.2">
      <c r="B22" s="22" t="s">
        <v>42</v>
      </c>
      <c r="C22" s="28">
        <f>-27647*('2023 IR Data Book'!$A$5)</f>
        <v>-7527.9093829984204</v>
      </c>
      <c r="D22" s="28">
        <f>-29409*('2023 IR Data Book'!$A$5)</f>
        <v>-8007.6784839078582</v>
      </c>
      <c r="E22" s="28">
        <f>-23812*('2023 IR Data Book'!$A$5)</f>
        <v>-6483.6900288623856</v>
      </c>
      <c r="F22" s="28">
        <f t="shared" ref="F22" si="17">G22-C22-D22-E22</f>
        <v>-164.46114469313488</v>
      </c>
      <c r="G22" s="28">
        <f>(-81472)*('2023 IR Data Book'!$A$5)</f>
        <v>-22183.739040461798</v>
      </c>
      <c r="H22" s="28">
        <f>-19735.8152716225*('2023 IR Data Book'!$A$5)</f>
        <v>-5373.799289773594</v>
      </c>
      <c r="I22" s="28">
        <f>-8349.12519583467*('2023 IR Data Book'!$A$5)</f>
        <v>-2273.3554418762374</v>
      </c>
      <c r="J22" s="28">
        <f>504.491688053108*(('2023 IR Data Book'!$A$5))</f>
        <v>137.3663584526243</v>
      </c>
      <c r="K22" s="28">
        <f>L22-H22-I22-J22</f>
        <v>518.98014679667358</v>
      </c>
      <c r="L22" s="28">
        <f>-25674.4422922786*(('2023 IR Data Book'!$A$5))</f>
        <v>-6990.8082264005334</v>
      </c>
      <c r="M22" s="28">
        <f>-10898*(('2023 IR Data Book'!$A$5))</f>
        <v>-2967.3800577247725</v>
      </c>
      <c r="N22" s="28">
        <f>-4976.19455747377*((('2023 IR Data Book'!$A$5)))</f>
        <v>-1354.9514124799243</v>
      </c>
      <c r="O22" s="28">
        <f>-6324.87949189749*((('2023 IR Data Book'!$A$5)))</f>
        <v>-1722.1803332509637</v>
      </c>
      <c r="P22" s="28">
        <f t="shared" si="11"/>
        <v>-1859.5466917035881</v>
      </c>
      <c r="Q22" s="32">
        <f t="shared" si="12"/>
        <v>-13.537133200957054</v>
      </c>
    </row>
    <row r="23" spans="2:20" ht="15" x14ac:dyDescent="0.25">
      <c r="B23" s="23" t="s">
        <v>43</v>
      </c>
      <c r="C23" s="30">
        <f>SUM(C21:C22)</f>
        <v>11286.282197897955</v>
      </c>
      <c r="D23" s="30">
        <f>SUM(D21:D22)</f>
        <v>16558.568861297164</v>
      </c>
      <c r="E23" s="30">
        <f t="shared" ref="E23:G23" si="18">SUM(E21:E22)</f>
        <v>8712.3563687850437</v>
      </c>
      <c r="F23" s="30">
        <f t="shared" si="18"/>
        <v>12659.151554756965</v>
      </c>
      <c r="G23" s="30">
        <f t="shared" si="18"/>
        <v>49216.358982737023</v>
      </c>
      <c r="H23" s="30">
        <f t="shared" ref="H23:N23" si="19">SUM(H21:H22)</f>
        <v>12791.253967741763</v>
      </c>
      <c r="I23" s="30">
        <f t="shared" si="19"/>
        <v>12256.035818955692</v>
      </c>
      <c r="J23" s="30">
        <f t="shared" si="19"/>
        <v>10023.443836860513</v>
      </c>
      <c r="K23" s="30">
        <f t="shared" si="19"/>
        <v>8772.8004352591361</v>
      </c>
      <c r="L23" s="30">
        <f t="shared" si="19"/>
        <v>43843.534058817211</v>
      </c>
      <c r="M23" s="30">
        <f t="shared" si="19"/>
        <v>6687.905026411825</v>
      </c>
      <c r="N23" s="30">
        <f t="shared" si="19"/>
        <v>5178.8778160715483</v>
      </c>
      <c r="O23" s="30">
        <f t="shared" ref="O23" si="20">SUM(O21:O22)</f>
        <v>2456.7710424967918</v>
      </c>
      <c r="P23" s="39">
        <f t="shared" si="11"/>
        <v>-7566.6727943637216</v>
      </c>
      <c r="Q23" s="40">
        <f t="shared" si="12"/>
        <v>-0.7548975100292189</v>
      </c>
      <c r="S23" s="211"/>
      <c r="T23" s="211"/>
    </row>
    <row r="24" spans="2:20" x14ac:dyDescent="0.2">
      <c r="B24" s="23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32"/>
      <c r="S24" s="89"/>
    </row>
    <row r="25" spans="2:20" x14ac:dyDescent="0.2">
      <c r="B25" s="23" t="s">
        <v>44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2"/>
      <c r="S25" s="2"/>
      <c r="T25" s="2"/>
    </row>
    <row r="26" spans="2:20" x14ac:dyDescent="0.2">
      <c r="B26" s="22" t="s">
        <v>45</v>
      </c>
      <c r="C26" s="28">
        <f>5895*('2023 IR Data Book'!$A$5)</f>
        <v>1605.1298807384414</v>
      </c>
      <c r="D26" s="28">
        <f>5432*('2023 IR Data Book'!$A$5)</f>
        <v>1479.0611555845994</v>
      </c>
      <c r="E26" s="28">
        <f>5037*('2023 IR Data Book'!$A$5)</f>
        <v>1371.5079235419048</v>
      </c>
      <c r="F26" s="28">
        <f t="shared" ref="F26:F27" si="21">G26-C26-D26-E26</f>
        <v>-169.63459129771809</v>
      </c>
      <c r="G26" s="28">
        <f>(15741)*('2023 IR Data Book'!$A$5)</f>
        <v>4286.0643685672276</v>
      </c>
      <c r="H26" s="28">
        <f>8.02103920024501*('2023 IR Data Book'!$A$5)</f>
        <v>2.1840220008291156</v>
      </c>
      <c r="I26" s="28">
        <f>-23.9996667664583*('2023 IR Data Book'!$A$5)</f>
        <v>-6.5347891865322385</v>
      </c>
      <c r="J26" s="28">
        <f>1191.33466071547*(('2023 IR Data Book'!$A$5))</f>
        <v>324.3845397580651</v>
      </c>
      <c r="K26" s="28">
        <f>L26-H26-I26-J26</f>
        <v>-88.168516685151559</v>
      </c>
      <c r="L26" s="28">
        <f>851.548338771369*(('2023 IR Data Book'!$A$5))</f>
        <v>231.86525588721042</v>
      </c>
      <c r="M26" s="28">
        <f>-360*(('2023 IR Data Book'!$A$5))</f>
        <v>-98.023198823721614</v>
      </c>
      <c r="N26" s="28">
        <f>-543.672105395049*((('2023 IR Data Book'!$A$5)))</f>
        <v>-148.0346635612506</v>
      </c>
      <c r="O26" s="28">
        <f>-333.444620318354*((('2023 IR Data Book'!$A$5)))</f>
        <v>-90.792523094906599</v>
      </c>
      <c r="P26" s="28">
        <f>O26-J26</f>
        <v>-415.17706285297169</v>
      </c>
      <c r="Q26" s="32">
        <f>P26/J26</f>
        <v>-1.2798916470021109</v>
      </c>
    </row>
    <row r="27" spans="2:20" x14ac:dyDescent="0.2">
      <c r="B27" s="22" t="s">
        <v>46</v>
      </c>
      <c r="C27" s="28">
        <f>0*('2023 IR Data Book'!$A$5)</f>
        <v>0</v>
      </c>
      <c r="D27" s="28">
        <f>0*('2023 IR Data Book'!$A$5)</f>
        <v>0</v>
      </c>
      <c r="E27" s="28">
        <f>31608*('2023 IR Data Book'!$A$5)</f>
        <v>8606.4368567227575</v>
      </c>
      <c r="F27" s="28">
        <f t="shared" si="21"/>
        <v>0</v>
      </c>
      <c r="G27" s="28">
        <f>(31608)*('2023 IR Data Book'!$A$5)</f>
        <v>8606.4368567227575</v>
      </c>
      <c r="H27" s="28">
        <f>800.0869278*('2023 IR Data Book'!$A$5)</f>
        <v>217.85299999999998</v>
      </c>
      <c r="I27" s="28">
        <f>0*('2023 IR Data Book'!$A$5)</f>
        <v>0</v>
      </c>
      <c r="J27" s="28">
        <f>1520.9044572*(('2023 IR Data Book'!$A$5))</f>
        <v>414.12199999999996</v>
      </c>
      <c r="K27" s="28">
        <f>L27-H27-I27-J27</f>
        <v>325.00000000000011</v>
      </c>
      <c r="L27" s="28">
        <f>3514.586385*(('2023 IR Data Book'!$A$5))</f>
        <v>956.97500000000002</v>
      </c>
      <c r="M27" s="28">
        <f>0*('2023 IR Data Book'!$A$5)</f>
        <v>0</v>
      </c>
      <c r="N27" s="28"/>
      <c r="O27" s="28"/>
      <c r="P27" s="28">
        <f>O27-J27</f>
        <v>-414.12199999999996</v>
      </c>
      <c r="Q27" s="32">
        <f>P27/J27</f>
        <v>-1</v>
      </c>
    </row>
    <row r="28" spans="2:20" ht="15" x14ac:dyDescent="0.25">
      <c r="B28" s="23" t="s">
        <v>47</v>
      </c>
      <c r="C28" s="30">
        <f>C26+C23+C27</f>
        <v>12891.412078636396</v>
      </c>
      <c r="D28" s="30">
        <f>D26+D23+D27</f>
        <v>18037.630016881765</v>
      </c>
      <c r="E28" s="30">
        <f t="shared" ref="E28:G28" si="22">E26+E23+E27</f>
        <v>18690.301149049708</v>
      </c>
      <c r="F28" s="30">
        <f t="shared" si="22"/>
        <v>12489.516963459248</v>
      </c>
      <c r="G28" s="30">
        <f t="shared" si="22"/>
        <v>62108.860208027007</v>
      </c>
      <c r="H28" s="30">
        <f t="shared" ref="H28:N28" si="23">H26+H23+H27</f>
        <v>13011.290989742591</v>
      </c>
      <c r="I28" s="30">
        <f t="shared" si="23"/>
        <v>12249.501029769159</v>
      </c>
      <c r="J28" s="30">
        <f t="shared" si="23"/>
        <v>10761.950376618577</v>
      </c>
      <c r="K28" s="30">
        <f t="shared" si="23"/>
        <v>9009.6319185739849</v>
      </c>
      <c r="L28" s="30">
        <f t="shared" si="23"/>
        <v>45032.374314704422</v>
      </c>
      <c r="M28" s="30">
        <f t="shared" si="23"/>
        <v>6589.8818275881031</v>
      </c>
      <c r="N28" s="30">
        <f t="shared" si="23"/>
        <v>5030.8431525102978</v>
      </c>
      <c r="O28" s="30">
        <f t="shared" ref="O28" si="24">O26+O23+O27</f>
        <v>2365.978519401885</v>
      </c>
      <c r="P28" s="39">
        <f>O28-J28</f>
        <v>-8395.971857216693</v>
      </c>
      <c r="Q28" s="223">
        <f>P28/J28</f>
        <v>-0.78015337029036935</v>
      </c>
      <c r="S28" s="211"/>
      <c r="T28" s="211"/>
    </row>
    <row r="29" spans="2:20" x14ac:dyDescent="0.2">
      <c r="B29" s="2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2"/>
    </row>
    <row r="30" spans="2:20" x14ac:dyDescent="0.2">
      <c r="B30" s="23" t="s">
        <v>48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32"/>
    </row>
    <row r="31" spans="2:20" x14ac:dyDescent="0.2">
      <c r="B31" s="27" t="s">
        <v>49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2"/>
    </row>
    <row r="32" spans="2:20" x14ac:dyDescent="0.2">
      <c r="B32" s="22" t="s">
        <v>50</v>
      </c>
      <c r="C32" s="28">
        <f>40656*('2023 IR Data Book'!$A$5)</f>
        <v>11070.086587158961</v>
      </c>
      <c r="D32" s="28">
        <f>60419*('2023 IR Data Book'!$A$5)</f>
        <v>16451.287915917877</v>
      </c>
      <c r="E32" s="28">
        <f>31350*('2023 IR Data Book'!$A$5)</f>
        <v>8536.1868975657562</v>
      </c>
      <c r="F32" s="28">
        <f t="shared" ref="F32:F33" si="25">G32-C32-D32-E32</f>
        <v>12762.075913521752</v>
      </c>
      <c r="G32" s="28">
        <f>(179295)*('2023 IR Data Book'!$A$5)</f>
        <v>48819.637314164349</v>
      </c>
      <c r="H32" s="28">
        <f>46494.1878882839*('2023 IR Data Book'!$A$5)</f>
        <v>12659.74728755756</v>
      </c>
      <c r="I32" s="28">
        <f>44592.4391410097*('2023 IR Data Book'!$A$5)</f>
        <v>12141.926466538611</v>
      </c>
      <c r="J32" s="28">
        <f>36931.2203883523*(('2023 IR Data Book'!$A$5))</f>
        <v>10055.878774805942</v>
      </c>
      <c r="K32" s="28">
        <f>L32-H32-I32-J32</f>
        <v>8984.0872719874405</v>
      </c>
      <c r="L32" s="28">
        <f>161012.806332747*(('2023 IR Data Book'!$A$5))</f>
        <v>43841.639800889556</v>
      </c>
      <c r="M32" s="28">
        <f>24269*(('2023 IR Data Book'!$A$5))</f>
        <v>6608.1250340358329</v>
      </c>
      <c r="N32" s="28">
        <f>19504.2554196132*((('2023 IR Data Book'!$A$5)))</f>
        <v>5310.7486302927628</v>
      </c>
      <c r="O32" s="28">
        <f>9974.73454692485*((('2023 IR Data Book'!$A$5)))</f>
        <v>2715.9871880751648</v>
      </c>
      <c r="P32" s="28">
        <f>O32-J32</f>
        <v>-7339.8915867307769</v>
      </c>
      <c r="Q32" s="32">
        <f>P32/J32</f>
        <v>-0.72991050818156089</v>
      </c>
    </row>
    <row r="33" spans="2:21" x14ac:dyDescent="0.2">
      <c r="B33" s="22" t="s">
        <v>51</v>
      </c>
      <c r="C33" s="28">
        <f>5357*('2023 IR Data Book'!$A$5)</f>
        <v>1458.6396558296574</v>
      </c>
      <c r="D33" s="28">
        <f>5047*('2023 IR Data Book'!$A$5)</f>
        <v>1374.230790175897</v>
      </c>
      <c r="E33" s="28">
        <f>36465*('2023 IR Data Book'!$A$5)</f>
        <v>9928.9331808528004</v>
      </c>
      <c r="F33" s="28">
        <f t="shared" si="25"/>
        <v>-169.63459129771945</v>
      </c>
      <c r="G33" s="28">
        <f>(46246)*('2023 IR Data Book'!$A$5)</f>
        <v>12592.169035560637</v>
      </c>
      <c r="H33" s="28">
        <f>808.109436040245*('2023 IR Data Book'!$A$5)</f>
        <v>220.03742200082911</v>
      </c>
      <c r="I33" s="28">
        <f>-24.0000340264582*('2023 IR Data Book'!$A$5)</f>
        <v>-6.5348891865322107</v>
      </c>
      <c r="J33" s="28">
        <f>2712.23853029947*(('2023 IR Data Book'!$A$5))</f>
        <v>738.50637975806501</v>
      </c>
      <c r="K33" s="28">
        <f>L33-H33-I33-J33</f>
        <v>236.8314833148487</v>
      </c>
      <c r="L33" s="28">
        <f>4366.13523793537*(('2023 IR Data Book'!$A$5))</f>
        <v>1188.8403958872107</v>
      </c>
      <c r="M33" s="28">
        <f>-360*(('2023 IR Data Book'!$A$5))</f>
        <v>-98.023198823721614</v>
      </c>
      <c r="N33" s="28">
        <f>-543.672178847049*((('2023 IR Data Book'!$A$5)))</f>
        <v>-148.03468356125063</v>
      </c>
      <c r="O33" s="28">
        <f>-333.444583592354*((('2023 IR Data Book'!$A$5)))</f>
        <v>-90.792513094906596</v>
      </c>
      <c r="P33" s="28">
        <f>O33-J33</f>
        <v>-829.29889285297156</v>
      </c>
      <c r="Q33" s="32">
        <f>P33/J33</f>
        <v>-1.1229407295366225</v>
      </c>
    </row>
    <row r="34" spans="2:21" ht="15" x14ac:dyDescent="0.25">
      <c r="B34" s="22"/>
      <c r="C34" s="30">
        <f>SUM(C32:C33)</f>
        <v>12528.726242988618</v>
      </c>
      <c r="D34" s="30">
        <f>SUM(D32:D33)</f>
        <v>17825.518706093775</v>
      </c>
      <c r="E34" s="30">
        <f t="shared" ref="E34:G34" si="26">SUM(E32:E33)</f>
        <v>18465.120078418557</v>
      </c>
      <c r="F34" s="30">
        <f t="shared" si="26"/>
        <v>12592.441322224033</v>
      </c>
      <c r="G34" s="30">
        <f t="shared" si="26"/>
        <v>61411.806349724982</v>
      </c>
      <c r="H34" s="30">
        <f t="shared" ref="H34:N34" si="27">SUM(H32:H33)</f>
        <v>12879.784709558389</v>
      </c>
      <c r="I34" s="30">
        <f t="shared" si="27"/>
        <v>12135.391577352078</v>
      </c>
      <c r="J34" s="30">
        <f t="shared" si="27"/>
        <v>10794.385154564006</v>
      </c>
      <c r="K34" s="30">
        <f t="shared" si="27"/>
        <v>9220.9187553022894</v>
      </c>
      <c r="L34" s="30">
        <f t="shared" si="27"/>
        <v>45030.480196776763</v>
      </c>
      <c r="M34" s="30">
        <f t="shared" si="27"/>
        <v>6510.1018352121109</v>
      </c>
      <c r="N34" s="30">
        <f t="shared" si="27"/>
        <v>5162.7139467315119</v>
      </c>
      <c r="O34" s="30">
        <f t="shared" ref="O34" si="28">SUM(O32:O33)</f>
        <v>2625.1946749802582</v>
      </c>
      <c r="P34" s="39">
        <f>O34-J34</f>
        <v>-8169.1904795837481</v>
      </c>
      <c r="Q34" s="223">
        <f>P34/J34</f>
        <v>-0.75679998097248813</v>
      </c>
      <c r="S34" s="211"/>
      <c r="T34" s="211"/>
    </row>
    <row r="35" spans="2:21" x14ac:dyDescent="0.2">
      <c r="B35" s="27" t="s">
        <v>52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32"/>
      <c r="S35" s="2"/>
      <c r="T35" s="2"/>
      <c r="U35" s="2"/>
    </row>
    <row r="36" spans="2:21" x14ac:dyDescent="0.2">
      <c r="B36" s="22" t="s">
        <v>53</v>
      </c>
      <c r="C36" s="28">
        <f>794*('2023 IR Data Book'!$A$5)</f>
        <v>216.19561073898601</v>
      </c>
      <c r="D36" s="28">
        <f>394*('2023 IR Data Book'!$A$5)</f>
        <v>107.28094537929532</v>
      </c>
      <c r="E36" s="28">
        <f>647*('2023 IR Data Book'!$A$5)</f>
        <v>176.16947121929968</v>
      </c>
      <c r="F36" s="28">
        <f t="shared" ref="F36:F37" si="29">G36-C36-D36-E36</f>
        <v>-102.92435876490769</v>
      </c>
      <c r="G36" s="28">
        <f>1457*('2023 IR Data Book'!$A$5)</f>
        <v>396.72166857267331</v>
      </c>
      <c r="H36" s="28">
        <f>482.969964602641*('2023 IR Data Book'!$A$5)</f>
        <v>131.50628018369574</v>
      </c>
      <c r="I36" s="28">
        <f>420*('2023 IR Data Book'!$A$5)</f>
        <v>114.36039862767521</v>
      </c>
      <c r="J36" s="28">
        <f>-119.121592951046*(('2023 IR Data Book'!$A$5))</f>
        <v>-32.435221083441157</v>
      </c>
      <c r="K36" s="28">
        <f>L36-H36-I36-J36</f>
        <v>-211.53763197581196</v>
      </c>
      <c r="L36" s="28">
        <f>6.95526445722799*(('2023 IR Data Book'!$A$5))</f>
        <v>1.893825752117843</v>
      </c>
      <c r="M36" s="28">
        <f>293*(('2023 IR Data Book'!$A$5))</f>
        <v>79.779992375973421</v>
      </c>
      <c r="N36" s="28">
        <f>-484.30867885866*((('2023 IR Data Book'!$A$5)))</f>
        <v>-131.87079422171215</v>
      </c>
      <c r="O36" s="28">
        <f>-951.99963214133*((('2023 IR Data Book'!$A$5)))</f>
        <v>-259.21680339305397</v>
      </c>
      <c r="P36" s="28">
        <f>O36-J36</f>
        <v>-226.78158230961282</v>
      </c>
      <c r="Q36" s="32">
        <f>P36/J36</f>
        <v>6.9918309397739682</v>
      </c>
    </row>
    <row r="37" spans="2:21" x14ac:dyDescent="0.2">
      <c r="B37" s="22" t="s">
        <v>54</v>
      </c>
      <c r="C37" s="28">
        <f>538*('2023 IR Data Book'!$A$5)</f>
        <v>146.49022490878397</v>
      </c>
      <c r="D37" s="28">
        <f>385*('2023 IR Data Book'!$A$5)</f>
        <v>104.83036540870228</v>
      </c>
      <c r="E37" s="28">
        <f>180*('2023 IR Data Book'!$A$5)</f>
        <v>49.011599411860807</v>
      </c>
      <c r="F37" s="28">
        <f t="shared" si="29"/>
        <v>0</v>
      </c>
      <c r="G37" s="28">
        <f>(1103)*('2023 IR Data Book'!$A$5)</f>
        <v>300.33218972934702</v>
      </c>
      <c r="H37" s="28">
        <f>0*('2023 IR Data Book'!$A$5)</f>
        <v>0</v>
      </c>
      <c r="I37" s="28">
        <f>0*('2023 IR Data Book'!$A$5)</f>
        <v>0</v>
      </c>
      <c r="J37" s="28">
        <f>0*(('2023 IR Data Book'!$A$5))</f>
        <v>0</v>
      </c>
      <c r="K37" s="28">
        <f>L37-H37-I37-J37</f>
        <v>0</v>
      </c>
      <c r="L37" s="28">
        <f>0*(('2023 IR Data Book'!$A$5))</f>
        <v>0</v>
      </c>
      <c r="M37" s="28">
        <f>0*(('2023 IR Data Book'!$A$5))</f>
        <v>0</v>
      </c>
      <c r="N37" s="28">
        <f>0*((('2023 IR Data Book'!$A$5)))</f>
        <v>0</v>
      </c>
      <c r="O37" s="28">
        <f>0*((('2023 IR Data Book'!$A$5)))</f>
        <v>0</v>
      </c>
      <c r="P37" s="28">
        <f>O37-J37</f>
        <v>0</v>
      </c>
      <c r="Q37" s="32"/>
    </row>
    <row r="38" spans="2:21" ht="15" x14ac:dyDescent="0.25">
      <c r="B38" s="23"/>
      <c r="C38" s="30">
        <f>SUM(C36:C37)</f>
        <v>362.68583564776998</v>
      </c>
      <c r="D38" s="30">
        <f>SUM(D36:D37)</f>
        <v>212.11131078799758</v>
      </c>
      <c r="E38" s="30">
        <f t="shared" ref="E38:G38" si="30">SUM(E36:E37)</f>
        <v>225.18107063116048</v>
      </c>
      <c r="F38" s="30">
        <f t="shared" si="30"/>
        <v>-102.92435876490769</v>
      </c>
      <c r="G38" s="30">
        <f t="shared" si="30"/>
        <v>697.05385830202033</v>
      </c>
      <c r="H38" s="30">
        <f t="shared" ref="H38:N38" si="31">SUM(H36:H37)</f>
        <v>131.50628018369574</v>
      </c>
      <c r="I38" s="30">
        <f t="shared" si="31"/>
        <v>114.36039862767521</v>
      </c>
      <c r="J38" s="30">
        <f t="shared" si="31"/>
        <v>-32.435221083441157</v>
      </c>
      <c r="K38" s="30">
        <f t="shared" si="31"/>
        <v>-211.53763197581196</v>
      </c>
      <c r="L38" s="30">
        <f t="shared" si="31"/>
        <v>1.893825752117843</v>
      </c>
      <c r="M38" s="30">
        <f t="shared" si="31"/>
        <v>79.779992375973421</v>
      </c>
      <c r="N38" s="30">
        <f t="shared" si="31"/>
        <v>-131.87079422171215</v>
      </c>
      <c r="O38" s="30">
        <f t="shared" ref="O38" si="32">SUM(O36:O37)</f>
        <v>-259.21680339305397</v>
      </c>
      <c r="P38" s="39">
        <f>O38-J38</f>
        <v>-226.78158230961282</v>
      </c>
      <c r="Q38" s="40">
        <f>P38/J38</f>
        <v>6.9918309397739682</v>
      </c>
    </row>
    <row r="39" spans="2:21" x14ac:dyDescent="0.2">
      <c r="B39" s="23"/>
      <c r="Q39" s="33"/>
    </row>
    <row r="40" spans="2:21" x14ac:dyDescent="0.2">
      <c r="B40" s="23" t="s">
        <v>55</v>
      </c>
      <c r="Q40" s="33"/>
    </row>
    <row r="41" spans="2:21" x14ac:dyDescent="0.2">
      <c r="B41" s="22" t="s">
        <v>56</v>
      </c>
      <c r="C41" s="31">
        <f>C32*1000/1464100000</f>
        <v>7.5610180910859652E-3</v>
      </c>
      <c r="D41" s="31">
        <f>D32*1000/1464100000</f>
        <v>1.1236451004656702E-2</v>
      </c>
      <c r="E41" s="31">
        <f t="shared" ref="E41:G41" si="33">E32*1000/1464100000</f>
        <v>5.8303305085484298E-3</v>
      </c>
      <c r="F41" s="31">
        <f t="shared" ref="F41" si="34">F32*1000/1464100000</f>
        <v>8.716669567325832E-3</v>
      </c>
      <c r="G41" s="31">
        <f t="shared" si="33"/>
        <v>3.3344469171616931E-2</v>
      </c>
      <c r="H41" s="31">
        <f t="shared" ref="H41:J42" si="35">H32*1000/1464100000</f>
        <v>8.6467777389232711E-3</v>
      </c>
      <c r="I41" s="31">
        <f t="shared" si="35"/>
        <v>8.2930991506991389E-3</v>
      </c>
      <c r="J41" s="31">
        <f t="shared" si="35"/>
        <v>6.8683005087124801E-3</v>
      </c>
      <c r="K41" s="31">
        <f t="shared" ref="K41:L41" si="36">K32*1000/1464100000</f>
        <v>6.1362524909414932E-3</v>
      </c>
      <c r="L41" s="31">
        <f t="shared" si="36"/>
        <v>2.9944429889276387E-2</v>
      </c>
      <c r="M41" s="31">
        <f>M32*1000/1464100000</f>
        <v>4.5134383129812397E-3</v>
      </c>
      <c r="N41" s="31">
        <f>N32*1000/1464100000</f>
        <v>3.6273127725515763E-3</v>
      </c>
      <c r="O41" s="31">
        <f>O32*1000/1464100000</f>
        <v>1.8550557940544804E-3</v>
      </c>
      <c r="P41" s="28">
        <f t="shared" ref="P41:P42" si="37">O41-J41</f>
        <v>-5.0132447146579995E-3</v>
      </c>
      <c r="Q41" s="32">
        <f t="shared" ref="Q41:Q42" si="38">P41/J41</f>
        <v>-0.72991050818156089</v>
      </c>
    </row>
    <row r="42" spans="2:21" x14ac:dyDescent="0.2">
      <c r="B42" s="22" t="s">
        <v>57</v>
      </c>
      <c r="C42" s="31">
        <f>C33*1000/1464100000</f>
        <v>9.9627051146073168E-4</v>
      </c>
      <c r="D42" s="31">
        <f>D33*1000/1464100000</f>
        <v>9.386181204671109E-4</v>
      </c>
      <c r="E42" s="31">
        <f t="shared" ref="E42:G42" si="39">E33*1000/1464100000</f>
        <v>6.7815949599431737E-3</v>
      </c>
      <c r="F42" s="31">
        <f t="shared" ref="F42" si="40">F33*1000/1464100000</f>
        <v>-1.1586270835169692E-4</v>
      </c>
      <c r="G42" s="31">
        <f t="shared" si="39"/>
        <v>8.6006208835193217E-3</v>
      </c>
      <c r="H42" s="31">
        <f t="shared" si="35"/>
        <v>1.502885199104085E-4</v>
      </c>
      <c r="I42" s="31">
        <f t="shared" si="35"/>
        <v>-4.4634172437212014E-6</v>
      </c>
      <c r="J42" s="31">
        <f t="shared" si="35"/>
        <v>5.0440979424770508E-4</v>
      </c>
      <c r="K42" s="31">
        <f t="shared" ref="K42:M42" si="41">K33*1000/1464100000</f>
        <v>1.6175908975810991E-4</v>
      </c>
      <c r="L42" s="31">
        <f t="shared" si="41"/>
        <v>8.1199398667250238E-4</v>
      </c>
      <c r="M42" s="31">
        <f t="shared" si="41"/>
        <v>-6.6951163734527432E-5</v>
      </c>
      <c r="N42" s="31">
        <f t="shared" ref="N42" si="42">N33*1000/1464100000</f>
        <v>-1.0110968073304462E-4</v>
      </c>
      <c r="O42" s="31">
        <f>O33*1000/1464100000</f>
        <v>-6.2012508090230576E-5</v>
      </c>
      <c r="P42" s="28">
        <f t="shared" si="37"/>
        <v>-5.6642230233793563E-4</v>
      </c>
      <c r="Q42" s="32">
        <f t="shared" si="38"/>
        <v>-1.1229407295366225</v>
      </c>
    </row>
    <row r="46" spans="2:21" x14ac:dyDescent="0.2">
      <c r="B46" s="177" t="s">
        <v>58</v>
      </c>
      <c r="C46" s="178">
        <v>2017</v>
      </c>
      <c r="D46" s="178">
        <v>2018</v>
      </c>
      <c r="E46" s="178">
        <v>2019</v>
      </c>
      <c r="F46" s="178">
        <v>2020</v>
      </c>
      <c r="G46" s="178">
        <v>2021</v>
      </c>
      <c r="H46" s="178">
        <v>2022</v>
      </c>
    </row>
    <row r="47" spans="2:21" x14ac:dyDescent="0.2">
      <c r="B47" s="71" t="s">
        <v>59</v>
      </c>
      <c r="C47" s="2">
        <v>0.16299979509596338</v>
      </c>
      <c r="D47" s="2">
        <v>0.16500034150672768</v>
      </c>
      <c r="E47" s="2">
        <v>0.16500000000885801</v>
      </c>
      <c r="F47" s="2">
        <v>0.13000000000697903</v>
      </c>
      <c r="G47" s="2">
        <v>0.13</v>
      </c>
      <c r="H47" s="2">
        <v>9.5334933401070077E-2</v>
      </c>
    </row>
    <row r="48" spans="2:21" x14ac:dyDescent="0.2">
      <c r="B48" s="71" t="s">
        <v>60</v>
      </c>
      <c r="C48" s="2">
        <v>0.54811333971828136</v>
      </c>
      <c r="D48" s="2">
        <v>0.49037725699554435</v>
      </c>
      <c r="E48" s="2">
        <v>0.48567852837348008</v>
      </c>
      <c r="F48" s="2">
        <v>0.71378800837877832</v>
      </c>
      <c r="G48" s="2">
        <v>0.84389534501584196</v>
      </c>
      <c r="H48" s="2">
        <v>0.84400000000000008</v>
      </c>
    </row>
    <row r="49" spans="2:8" x14ac:dyDescent="0.2">
      <c r="B49" s="23" t="s">
        <v>61</v>
      </c>
      <c r="C49" s="204">
        <v>0.16299999999999998</v>
      </c>
      <c r="D49" s="204">
        <v>0.16500000000000001</v>
      </c>
      <c r="E49" s="204">
        <v>0.16500000000000001</v>
      </c>
      <c r="F49" s="204">
        <v>0.13</v>
      </c>
      <c r="G49" s="20">
        <v>0.13</v>
      </c>
      <c r="H49" s="31">
        <v>9.5334933401070077E-2</v>
      </c>
    </row>
  </sheetData>
  <mergeCells count="1">
    <mergeCell ref="P5:Q5"/>
  </mergeCells>
  <pageMargins left="0.7" right="0.7" top="0.75" bottom="0.75" header="0.3" footer="0.3"/>
  <pageSetup orientation="portrait" horizontalDpi="1200" verticalDpi="1200" r:id="rId1"/>
  <ignoredErrors>
    <ignoredError sqref="G6 L6" numberStoredAsText="1"/>
    <ignoredError sqref="F10 K10 K21 K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968-C066-4BF5-942F-94C954F964D1}">
  <dimension ref="A1:N62"/>
  <sheetViews>
    <sheetView showGridLines="0" workbookViewId="0">
      <pane xSplit="2" ySplit="6" topLeftCell="C7" activePane="bottomRight" state="frozen"/>
      <selection pane="topRight" activeCell="P28" sqref="P28"/>
      <selection pane="bottomLeft" activeCell="P28" sqref="P28"/>
      <selection pane="bottomRight" activeCell="M56" sqref="M56"/>
    </sheetView>
  </sheetViews>
  <sheetFormatPr defaultColWidth="9.140625" defaultRowHeight="12.75" x14ac:dyDescent="0.2"/>
  <cols>
    <col min="1" max="1" width="5.7109375" style="20" customWidth="1"/>
    <col min="2" max="2" width="52.85546875" style="20" customWidth="1"/>
    <col min="3" max="13" width="9.85546875" style="20" bestFit="1" customWidth="1"/>
    <col min="14" max="14" width="11.28515625" style="2" bestFit="1" customWidth="1"/>
    <col min="15" max="16384" width="9.140625" style="20"/>
  </cols>
  <sheetData>
    <row r="1" spans="1:14" x14ac:dyDescent="0.2">
      <c r="A1" s="163">
        <f>'2023 IR Data Book'!$A$5</f>
        <v>0.27228666339922669</v>
      </c>
    </row>
    <row r="2" spans="1:14" ht="15.75" x14ac:dyDescent="0.25">
      <c r="B2" s="131" t="s">
        <v>62</v>
      </c>
    </row>
    <row r="5" spans="1:14" ht="15" x14ac:dyDescent="0.25">
      <c r="B5" s="21" t="s">
        <v>63</v>
      </c>
      <c r="C5" s="169" t="s">
        <v>64</v>
      </c>
      <c r="D5" s="169" t="s">
        <v>65</v>
      </c>
      <c r="E5" s="169" t="s">
        <v>66</v>
      </c>
      <c r="F5" s="169" t="s">
        <v>67</v>
      </c>
      <c r="G5" s="169" t="s">
        <v>68</v>
      </c>
      <c r="H5" s="169" t="s">
        <v>69</v>
      </c>
      <c r="I5" s="169" t="s">
        <v>261</v>
      </c>
      <c r="J5" s="169" t="s">
        <v>280</v>
      </c>
      <c r="K5" s="169" t="s">
        <v>287</v>
      </c>
      <c r="L5" s="169" t="s">
        <v>301</v>
      </c>
      <c r="M5" s="169" t="s">
        <v>308</v>
      </c>
    </row>
    <row r="6" spans="1:14" ht="15" x14ac:dyDescent="0.25">
      <c r="B6" s="21" t="s">
        <v>70</v>
      </c>
    </row>
    <row r="7" spans="1:14" x14ac:dyDescent="0.2">
      <c r="B7" s="20" t="s">
        <v>71</v>
      </c>
      <c r="C7" s="28">
        <f>957925*('2023 IR Data Book'!$A$5)</f>
        <v>260830.20203670423</v>
      </c>
      <c r="D7" s="28">
        <f>963437*('2023 IR Data Book'!$A$5)</f>
        <v>262331.04612536076</v>
      </c>
      <c r="E7" s="28">
        <f>980472*('2023 IR Data Book'!$A$5)</f>
        <v>266969.44943636662</v>
      </c>
      <c r="F7" s="28">
        <f>941430*('2023 IR Data Book'!$A$5)</f>
        <v>256338.83352393398</v>
      </c>
      <c r="G7" s="28">
        <f>918236*('2023 IR Data Book'!$A$5)</f>
        <v>250023.41665305232</v>
      </c>
      <c r="H7" s="28">
        <f>894104.544664551*('2023 IR Data Book'!$A$5)</f>
        <v>243452.74319679546</v>
      </c>
      <c r="I7" s="28">
        <f>866980.218712385*(('2023 IR Data Book'!$A$5))</f>
        <v>236067.15098632712</v>
      </c>
      <c r="J7" s="28">
        <f>883697.465735762*(('2023 IR Data Book'!$A$5))</f>
        <v>240619.0343995431</v>
      </c>
      <c r="K7" s="28">
        <f>864981*(('2023 IR Data Book'!$A$5))</f>
        <v>235522.79039372649</v>
      </c>
      <c r="L7" s="28">
        <f>878750.869404297*((('2023 IR Data Book'!$A$5)))</f>
        <v>239272.14218926564</v>
      </c>
      <c r="M7" s="28">
        <f>869050.485432705*((('2023 IR Data Book'!$A$5)))</f>
        <v>236630.85700394952</v>
      </c>
    </row>
    <row r="8" spans="1:14" x14ac:dyDescent="0.2">
      <c r="B8" s="20" t="s">
        <v>72</v>
      </c>
      <c r="C8" s="28">
        <f>862334*('2023 IR Data Book'!$A$5)</f>
        <v>234802.04759570875</v>
      </c>
      <c r="D8" s="28">
        <f>910988*('2023 IR Data Book'!$A$5)</f>
        <v>248049.88291673473</v>
      </c>
      <c r="E8" s="28">
        <f>956865*('2023 IR Data Book'!$A$5)</f>
        <v>260541.57817350104</v>
      </c>
      <c r="F8" s="28">
        <f>894266*('2023 IR Data Book'!$A$5)</f>
        <v>243496.70533137285</v>
      </c>
      <c r="G8" s="28">
        <f>890902*('2023 IR Data Book'!$A$5)</f>
        <v>242580.73299569785</v>
      </c>
      <c r="H8" s="28">
        <f>921554.993062863*('2023 IR Data Book'!$A$5)</f>
        <v>250927.13419998446</v>
      </c>
      <c r="I8" s="28">
        <f>894136.917651471*(('2023 IR Data Book'!$A$5))</f>
        <v>243461.55792938816</v>
      </c>
      <c r="J8" s="28">
        <f>860524.41295994*(('2023 IR Data Book'!$A$5))</f>
        <v>234309.32117844032</v>
      </c>
      <c r="K8" s="28">
        <f>907905*(('2023 IR Data Book'!$A$5))</f>
        <v>247210.42313347492</v>
      </c>
      <c r="L8" s="28">
        <f>880398.691638888*((('2023 IR Data Book'!$A$5)))</f>
        <v>239720.82220739746</v>
      </c>
      <c r="M8" s="28">
        <f>845349.934785601*((('2023 IR Data Book'!$A$5)))</f>
        <v>230177.51314752517</v>
      </c>
      <c r="N8" s="247"/>
    </row>
    <row r="9" spans="1:14" x14ac:dyDescent="0.2">
      <c r="B9" s="20" t="s">
        <v>73</v>
      </c>
      <c r="C9" s="28">
        <f>1135511*('2023 IR Data Book'!$A$5)</f>
        <v>309184.50144311931</v>
      </c>
      <c r="D9" s="28">
        <f>1140170*('2023 IR Data Book'!$A$5)</f>
        <v>310453.0850078963</v>
      </c>
      <c r="E9" s="28">
        <f>1031265*('2023 IR Data Book'!$A$5)</f>
        <v>280799.70593040349</v>
      </c>
      <c r="F9" s="28">
        <f>1002568*('2023 IR Data Book'!$A$5)</f>
        <v>272985.89555083588</v>
      </c>
      <c r="G9" s="28">
        <f>1002568*('2023 IR Data Book'!$A$5)</f>
        <v>272985.89555083588</v>
      </c>
      <c r="H9" s="28">
        <f>1002568.07593687*('2023 IR Data Book'!$A$5)</f>
        <v>272985.91622743284</v>
      </c>
      <c r="I9" s="28">
        <f>1002568.07589721*(('2023 IR Data Book'!$A$5))</f>
        <v>272985.91621663398</v>
      </c>
      <c r="J9" s="28">
        <f>1757680.58612402*(('2023 IR Data Book'!$A$5))</f>
        <v>478592.9821173065</v>
      </c>
      <c r="K9" s="28">
        <f>1757680*(('2023 IR Data Book'!$A$5))</f>
        <v>478592.82252355275</v>
      </c>
      <c r="L9" s="28">
        <f>1757680.00004428*((('2023 IR Data Book'!$A$5)))</f>
        <v>478592.82253560959</v>
      </c>
      <c r="M9" s="28">
        <f>1756731.00422396*((('2023 IR Data Book'!$A$5)))</f>
        <v>478334.42363011488</v>
      </c>
    </row>
    <row r="10" spans="1:14" x14ac:dyDescent="0.2">
      <c r="B10" s="20" t="s">
        <v>74</v>
      </c>
      <c r="C10" s="28">
        <f>214565*('2023 IR Data Book'!$A$5)</f>
        <v>58423.187932255074</v>
      </c>
      <c r="D10" s="28">
        <f>212727*('2023 IR Data Book'!$A$5)</f>
        <v>57922.725044927298</v>
      </c>
      <c r="E10" s="28">
        <f>212034*('2023 IR Data Book'!$A$5)</f>
        <v>57734.030387191633</v>
      </c>
      <c r="F10" s="28">
        <f>201255*('2023 IR Data Book'!$A$5)</f>
        <v>54799.052442411368</v>
      </c>
      <c r="G10" s="28">
        <f>200563*('2023 IR Data Book'!$A$5)</f>
        <v>54610.630071339103</v>
      </c>
      <c r="H10" s="28">
        <f>199872.416294696*('2023 IR Data Book'!$A$5)</f>
        <v>54422.593338424005</v>
      </c>
      <c r="I10" s="28">
        <f>199184.256569187*(('2023 IR Data Book'!$A$5))</f>
        <v>54235.21662287943</v>
      </c>
      <c r="J10" s="28">
        <f>324361.667538301*(('2023 IR Data Book'!$A$5))</f>
        <v>88319.356188613237</v>
      </c>
      <c r="K10" s="28">
        <f>320964*(('2023 IR Data Book'!$A$5))</f>
        <v>87394.216631269403</v>
      </c>
      <c r="L10" s="28">
        <f>317576.786571321*((('2023 IR Data Book'!$A$5)))</f>
        <v>86471.923588553342</v>
      </c>
      <c r="M10" s="28">
        <f>314191.995845834*((('2023 IR Data Book'!$A$5)))</f>
        <v>85550.290215605841</v>
      </c>
    </row>
    <row r="11" spans="1:14" x14ac:dyDescent="0.2">
      <c r="B11" s="20" t="s">
        <v>75</v>
      </c>
      <c r="C11" s="28">
        <f>37815*('2023 IR Data Book'!$A$5)</f>
        <v>10296.520176441758</v>
      </c>
      <c r="D11" s="28">
        <f>42848*('2023 IR Data Book'!$A$5)</f>
        <v>11666.938953330065</v>
      </c>
      <c r="E11" s="28">
        <f>35984*('2023 IR Data Book'!$A$5)</f>
        <v>9797.9632957577742</v>
      </c>
      <c r="F11" s="28">
        <f>37448.2731596125*('2023 IR Data Book'!$A$5)</f>
        <v>10196.665348693705</v>
      </c>
      <c r="G11" s="28">
        <f>40904*('2023 IR Data Book'!$A$5)</f>
        <v>11137.613679681968</v>
      </c>
      <c r="H11" s="28">
        <f>34374.6759942848*('2023 IR Data Book'!$A$5)</f>
        <v>9359.7658319133043</v>
      </c>
      <c r="I11" s="28">
        <f>33022.3487900181*(('2023 IR Data Book'!$A$5))</f>
        <v>8991.5451696395194</v>
      </c>
      <c r="J11" s="28">
        <f>24961.1986367492*(('2023 IR Data Book'!$A$5))</f>
        <v>6796.6014912457649</v>
      </c>
      <c r="K11" s="28">
        <f>25531*(('2023 IR Data Book'!$A$5))</f>
        <v>6951.7508032456562</v>
      </c>
      <c r="L11" s="28">
        <f>36927.6476736312*((('2023 IR Data Book'!$A$5)))</f>
        <v>10054.905972235256</v>
      </c>
      <c r="M11" s="28">
        <f>38561.8412386319*((('2023 IR Data Book'!$A$5)))</f>
        <v>10499.875085397784</v>
      </c>
    </row>
    <row r="12" spans="1:14" ht="25.5" x14ac:dyDescent="0.2">
      <c r="B12" s="41" t="s">
        <v>76</v>
      </c>
      <c r="C12" s="28">
        <f>23546*('2023 IR Data Book'!$A$5)</f>
        <v>6411.2617763981916</v>
      </c>
      <c r="D12" s="28">
        <f>23522*('2023 IR Data Book'!$A$5)</f>
        <v>6404.7268964766099</v>
      </c>
      <c r="E12" s="28">
        <f>17244*('2023 IR Data Book'!$A$5)</f>
        <v>4695.3112236562647</v>
      </c>
      <c r="F12" s="28">
        <f>17638*('2023 IR Data Book'!$A$5)</f>
        <v>4802.5921690355608</v>
      </c>
      <c r="G12" s="28">
        <f>17772*('2023 IR Data Book'!$A$5)</f>
        <v>4839.0785819310568</v>
      </c>
      <c r="H12" s="28">
        <f>17613.6880596444*('2023 IR Data Book'!$A$5)</f>
        <v>4795.9723519153731</v>
      </c>
      <c r="I12" s="28">
        <f>17566.1948018073*(('2023 IR Data Book'!$A$5))</f>
        <v>4783.0405712049505</v>
      </c>
      <c r="J12" s="28">
        <f>17666.6902792616*(('2023 IR Data Book'!$A$5))</f>
        <v>4810.4041494476933</v>
      </c>
      <c r="K12" s="28">
        <f>17659*(('2023 IR Data Book'!$A$5))</f>
        <v>4808.3101889669442</v>
      </c>
      <c r="L12" s="28">
        <f>17647.0119707624*((('2023 IR Data Book'!$A$5)))</f>
        <v>4805.0460084851056</v>
      </c>
      <c r="M12" s="28">
        <f>17556.1799535027*((('2023 IR Data Book'!$A$5)))</f>
        <v>4780.3136615756403</v>
      </c>
    </row>
    <row r="13" spans="1:14" x14ac:dyDescent="0.2">
      <c r="B13" s="41" t="s">
        <v>77</v>
      </c>
      <c r="C13" s="28">
        <f>7588*('2023 IR Data Book'!$A$5)</f>
        <v>2066.111201873332</v>
      </c>
      <c r="D13" s="28">
        <f>7601*('2023 IR Data Book'!$A$5)</f>
        <v>2069.6509284975223</v>
      </c>
      <c r="E13" s="28">
        <f>7275*('2023 IR Data Book'!$A$5)</f>
        <v>1980.8854762293743</v>
      </c>
      <c r="F13" s="28">
        <f>8006*('2023 IR Data Book'!$A$5)</f>
        <v>2179.9270271742089</v>
      </c>
      <c r="G13" s="28">
        <f>7971*('2023 IR Data Book'!$A$5)</f>
        <v>2170.3969939552358</v>
      </c>
      <c r="H13" s="28">
        <f>21150.4841613572*('2023 IR Data Book'!$A$5)</f>
        <v>5758.994761574143</v>
      </c>
      <c r="I13" s="28">
        <f>21022.0845693825*(('2023 IR Data Book'!$A$5))</f>
        <v>5724.0332650935297</v>
      </c>
      <c r="J13" s="28">
        <f>28134.9003685037*(('2023 IR Data Book'!$A$5))</f>
        <v>7660.7581464095456</v>
      </c>
      <c r="K13" s="28">
        <f>27859*(('2023 IR Data Book'!$A$5))</f>
        <v>7585.6341556390562</v>
      </c>
      <c r="L13" s="28">
        <f>26361.7873087616*((('2023 IR Data Book'!$A$5)))</f>
        <v>7177.963107542776</v>
      </c>
      <c r="M13" s="28">
        <f>24237.1408733341*((('2023 IR Data Book'!$A$5)))</f>
        <v>6599.4502187371618</v>
      </c>
    </row>
    <row r="14" spans="1:14" x14ac:dyDescent="0.2">
      <c r="B14" s="20" t="s">
        <v>78</v>
      </c>
      <c r="C14" s="28">
        <f>4572*('2023 IR Data Book'!$A$5)</f>
        <v>1244.8946250612644</v>
      </c>
      <c r="D14" s="28">
        <f>3834*('2023 IR Data Book'!$A$5)</f>
        <v>1043.9470674726351</v>
      </c>
      <c r="E14" s="28">
        <f>3700*('2023 IR Data Book'!$A$5)</f>
        <v>1007.4606545771387</v>
      </c>
      <c r="F14" s="28">
        <f>4115*('2023 IR Data Book'!$A$5)</f>
        <v>1120.4596198878178</v>
      </c>
      <c r="G14" s="28">
        <f>4099*('2023 IR Data Book'!$A$5)</f>
        <v>1116.1030332734301</v>
      </c>
      <c r="H14" s="28">
        <f>3531.41643549816*('2023 IR Data Book'!$A$5)</f>
        <v>961.55759829498436</v>
      </c>
      <c r="I14" s="28">
        <f>3394.74308190623*(('2023 IR Data Book'!$A$5))</f>
        <v>924.34326686985514</v>
      </c>
      <c r="J14" s="28">
        <f>5911.92045683834*(('2023 IR Data Book'!$A$5))</f>
        <v>1609.7370954741436</v>
      </c>
      <c r="K14" s="28">
        <f>5536*(('2023 IR Data Book'!$A$5))</f>
        <v>1507.3789685781189</v>
      </c>
      <c r="L14" s="28">
        <f>5808.94293753516*((('2023 IR Data Book'!$A$5)))</f>
        <v>1581.6976903379514</v>
      </c>
      <c r="M14" s="28">
        <f>6797.86432861108*((('2023 IR Data Book'!$A$5)))</f>
        <v>1850.9677962781352</v>
      </c>
    </row>
    <row r="15" spans="1:14" ht="15.75" thickBot="1" x14ac:dyDescent="0.3">
      <c r="C15" s="42">
        <f t="shared" ref="C15:E15" si="0">SUM(C7:C14)</f>
        <v>883258.7267875619</v>
      </c>
      <c r="D15" s="42">
        <f t="shared" si="0"/>
        <v>899942.00294069585</v>
      </c>
      <c r="E15" s="42">
        <f t="shared" si="0"/>
        <v>883526.38457768341</v>
      </c>
      <c r="F15" s="42">
        <f t="shared" ref="F15:K15" si="1">SUM(F7:F14)</f>
        <v>845920.13101334544</v>
      </c>
      <c r="G15" s="42">
        <f t="shared" si="1"/>
        <v>839463.86755976698</v>
      </c>
      <c r="H15" s="42">
        <f t="shared" si="1"/>
        <v>842664.67750633461</v>
      </c>
      <c r="I15" s="42">
        <f t="shared" si="1"/>
        <v>827172.80402803665</v>
      </c>
      <c r="J15" s="42">
        <f t="shared" si="1"/>
        <v>1062718.1947664802</v>
      </c>
      <c r="K15" s="42">
        <f t="shared" si="1"/>
        <v>1069573.3267984532</v>
      </c>
      <c r="L15" s="42">
        <f t="shared" ref="L15:M15" si="2">SUM(L7:L14)</f>
        <v>1067677.3232994273</v>
      </c>
      <c r="M15" s="42">
        <f t="shared" si="2"/>
        <v>1054423.6907591843</v>
      </c>
    </row>
    <row r="16" spans="1:14" ht="15" x14ac:dyDescent="0.25">
      <c r="B16" s="21" t="s">
        <v>79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2:14" x14ac:dyDescent="0.2">
      <c r="B17" s="20" t="s">
        <v>80</v>
      </c>
      <c r="C17" s="28">
        <f>1072585*('2023 IR Data Book'!$A$5)</f>
        <v>292050.59086205956</v>
      </c>
      <c r="D17" s="28">
        <f>1142044*('2023 IR Data Book'!$A$5)</f>
        <v>310963.35021510645</v>
      </c>
      <c r="E17" s="28">
        <f>1076168*('2023 IR Data Book'!$A$5)</f>
        <v>293026.19397701899</v>
      </c>
      <c r="F17" s="28">
        <f>1219422*('2023 IR Data Book'!$A$5)</f>
        <v>332032.34765561181</v>
      </c>
      <c r="G17" s="28">
        <f>1164185*('2023 IR Data Book'!$A$5)</f>
        <v>316992.04922942875</v>
      </c>
      <c r="H17" s="28">
        <f>1144011.21590874*('2023 IR Data Book'!$A$5)</f>
        <v>311498.9968710831</v>
      </c>
      <c r="I17" s="28">
        <f>1095736.37086374*(('2023 IR Data Book'!$A$5))</f>
        <v>298354.40038766543</v>
      </c>
      <c r="J17" s="28">
        <f>1130410.06190824*(('2023 IR Data Book'!$A$5))</f>
        <v>307795.58402990794</v>
      </c>
      <c r="K17" s="28">
        <f>1113713*(('2023 IR Data Book'!$A$5))</f>
        <v>303249.19675434293</v>
      </c>
      <c r="L17" s="28">
        <f>1085002.77513823*((('2023 IR Data Book'!$A$5)))</f>
        <v>295431.78542129009</v>
      </c>
      <c r="M17" s="28">
        <f>979894.296685645*((('2023 IR Data Book'!$A$5)))</f>
        <v>266812.14852846618</v>
      </c>
    </row>
    <row r="18" spans="2:14" x14ac:dyDescent="0.2">
      <c r="B18" s="20" t="s">
        <v>81</v>
      </c>
      <c r="C18" s="28">
        <f>296178*('2023 IR Data Book'!$A$5)</f>
        <v>80645.319392256162</v>
      </c>
      <c r="D18" s="28">
        <f>305444*('2023 IR Data Book'!$A$5)</f>
        <v>83168.327615313392</v>
      </c>
      <c r="E18" s="28">
        <f>353365*('2023 IR Data Book'!$A$5)</f>
        <v>96216.576812067739</v>
      </c>
      <c r="F18" s="28">
        <f>293709*('2023 IR Data Book'!$A$5)</f>
        <v>79973.043620323471</v>
      </c>
      <c r="G18" s="28">
        <f>310784*('2023 IR Data Book'!$A$5)</f>
        <v>84622.338397865271</v>
      </c>
      <c r="H18" s="28">
        <f>312682.133407311*('2023 IR Data Book'!$A$5)</f>
        <v>85139.174810028577</v>
      </c>
      <c r="I18" s="28">
        <f>270662.67988231*(('2023 IR Data Book'!$A$5))</f>
        <v>73697.838011847183</v>
      </c>
      <c r="J18" s="28">
        <f>284145.951605867*(('2023 IR Data Book'!$A$5))</f>
        <v>77369.153081159675</v>
      </c>
      <c r="K18" s="28">
        <f>271031*(('2023 IR Data Book'!$A$5))</f>
        <v>73798.126667755816</v>
      </c>
      <c r="L18" s="28">
        <f>267830.967387719*((('2023 IR Data Book'!$A$5)))</f>
        <v>72926.800464989108</v>
      </c>
      <c r="M18" s="28">
        <f>248574.158696011*((('2023 IR Data Book'!$A$5)))</f>
        <v>67683.428278606705</v>
      </c>
      <c r="N18" s="89"/>
    </row>
    <row r="19" spans="2:14" x14ac:dyDescent="0.2">
      <c r="B19" s="20" t="s">
        <v>82</v>
      </c>
      <c r="C19" s="28">
        <f>251949*('2023 IR Data Book'!$A$5)</f>
        <v>68602.352556771759</v>
      </c>
      <c r="D19" s="28">
        <f>61854*('2023 IR Data Book'!$A$5)</f>
        <v>16842.019277895768</v>
      </c>
      <c r="E19" s="28">
        <f>372533*('2023 IR Data Book'!$A$5)</f>
        <v>101435.76757610412</v>
      </c>
      <c r="F19" s="28">
        <f>57641*('2023 IR Data Book'!$A$5)</f>
        <v>15694.875564994825</v>
      </c>
      <c r="G19" s="28">
        <f>57972*('2023 IR Data Book'!$A$5)</f>
        <v>15785.00245057997</v>
      </c>
      <c r="H19" s="28">
        <f>10502.4383133088*('2023 IR Data Book'!$A$5)</f>
        <v>2859.6738858870553</v>
      </c>
      <c r="I19" s="28">
        <f>10683.5332031424*(('2023 IR Data Book'!$A$5))</f>
        <v>2908.9836091984971</v>
      </c>
      <c r="J19" s="28">
        <f>9488.2925181047*(('2023 IR Data Book'!$A$5))</f>
        <v>2583.5355111105755</v>
      </c>
      <c r="K19" s="28">
        <f>9612*(('2023 IR Data Book'!$A$5))</f>
        <v>2617.219408593367</v>
      </c>
      <c r="L19" s="28">
        <f>9494.27456452583*((('2023 IR Data Book'!$A$5)))</f>
        <v>2585.1643425708839</v>
      </c>
      <c r="M19" s="28">
        <f>7657.8972839579*((('2023 IR Data Book'!$A$5)))</f>
        <v>2085.1433001028972</v>
      </c>
      <c r="N19" s="89"/>
    </row>
    <row r="20" spans="2:14" x14ac:dyDescent="0.2">
      <c r="B20" s="20" t="s">
        <v>83</v>
      </c>
      <c r="C20" s="28">
        <f>798722*('2023 IR Data Book'!$A$5)</f>
        <v>217481.34836355713</v>
      </c>
      <c r="D20" s="28">
        <f>842966*('2023 IR Data Book'!$A$5)</f>
        <v>229528.39949899254</v>
      </c>
      <c r="E20" s="28">
        <f>778329*('2023 IR Data Book'!$A$5)</f>
        <v>211928.6064368567</v>
      </c>
      <c r="F20" s="28">
        <f>711800*('2023 IR Data Book'!$A$5)</f>
        <v>193813.64700756955</v>
      </c>
      <c r="G20" s="28">
        <f>704333*('2023 IR Data Book'!$A$5)</f>
        <v>191780.48249196753</v>
      </c>
      <c r="H20" s="28">
        <f>581871.5*('2023 IR Data Book'!$A$5)</f>
        <v>158435.84926210315</v>
      </c>
      <c r="I20" s="28">
        <f>624511.215208246*(('2023 IR Data Book'!$A$5))</f>
        <v>170046.07504444971</v>
      </c>
      <c r="J20" s="28">
        <f>758954.142799271*(('2023 IR Data Book'!$A$5))</f>
        <v>206653.09121583373</v>
      </c>
      <c r="K20" s="28">
        <f>712247*(('2023 IR Data Book'!$A$5))</f>
        <v>193935.35914610903</v>
      </c>
      <c r="L20" s="28">
        <f>492266.198975992*((('2023 IR Data Book'!$A$5)))</f>
        <v>134037.52082339267</v>
      </c>
      <c r="M20" s="28">
        <f>596168.960787367*((('2023 IR Data Book'!$A$5)))</f>
        <v>162328.85715497658</v>
      </c>
    </row>
    <row r="21" spans="2:14" ht="15.75" thickBot="1" x14ac:dyDescent="0.3">
      <c r="C21" s="42">
        <f t="shared" ref="C21:E21" si="3">SUM(C17:C20)</f>
        <v>658779.61117464467</v>
      </c>
      <c r="D21" s="42">
        <f t="shared" si="3"/>
        <v>640502.09660730814</v>
      </c>
      <c r="E21" s="42">
        <f t="shared" si="3"/>
        <v>702607.14480204752</v>
      </c>
      <c r="F21" s="42">
        <f t="shared" ref="F21:K21" si="4">SUM(F17:F20)</f>
        <v>621513.91384849965</v>
      </c>
      <c r="G21" s="42">
        <f t="shared" si="4"/>
        <v>609179.87256984157</v>
      </c>
      <c r="H21" s="42">
        <f t="shared" si="4"/>
        <v>557933.69482910191</v>
      </c>
      <c r="I21" s="42">
        <f t="shared" si="4"/>
        <v>545007.29705316084</v>
      </c>
      <c r="J21" s="42">
        <f t="shared" si="4"/>
        <v>594401.36383801186</v>
      </c>
      <c r="K21" s="42">
        <f t="shared" si="4"/>
        <v>573599.90197680122</v>
      </c>
      <c r="L21" s="42">
        <f t="shared" ref="L21:M21" si="5">SUM(L17:L20)</f>
        <v>504981.27105224272</v>
      </c>
      <c r="M21" s="42">
        <f t="shared" si="5"/>
        <v>498909.57726215234</v>
      </c>
    </row>
    <row r="22" spans="2:14" x14ac:dyDescent="0.2">
      <c r="B22" s="20" t="s">
        <v>84</v>
      </c>
      <c r="C22" s="28">
        <f>223270*('2023 IR Data Book'!$A$5)</f>
        <v>60793.443337145342</v>
      </c>
      <c r="D22" s="28">
        <f>222236*('2023 IR Data Book'!$A$5)</f>
        <v>60511.898927190545</v>
      </c>
      <c r="E22" s="28">
        <f>10796*('2023 IR Data Book'!$A$5)</f>
        <v>2939.6068180580514</v>
      </c>
      <c r="F22" s="28">
        <f>10650*('2023 IR Data Book'!$A$5)</f>
        <v>2899.8529652017642</v>
      </c>
      <c r="G22" s="28">
        <f>6706*('2023 IR Data Book'!$A$5)</f>
        <v>1825.9543647552141</v>
      </c>
      <c r="H22" s="28">
        <f>4600.82545261298*('2023 IR Data Book'!$A$5)</f>
        <v>1252.7434113742254</v>
      </c>
      <c r="I22" s="28">
        <f>7992.15309642213*(('2023 IR Data Book'!$A$5))</f>
        <v>2176.1567000005798</v>
      </c>
      <c r="J22" s="28">
        <f>6569.38132120438*(('2023 IR Data Book'!$A$5))</f>
        <v>1788.754920547944</v>
      </c>
      <c r="K22" s="28">
        <f>6185*(('2023 IR Data Book'!$A$5))</f>
        <v>1684.0930131242171</v>
      </c>
      <c r="L22" s="28">
        <f>5877.20954858466*((('2023 IR Data Book'!$A$5)))</f>
        <v>1600.2857780821923</v>
      </c>
      <c r="M22" s="28">
        <f>5460.06813439397*((('2023 IR Data Book'!$A$5)))</f>
        <v>1486.7037342465744</v>
      </c>
    </row>
    <row r="23" spans="2:14" ht="15.75" thickBot="1" x14ac:dyDescent="0.3">
      <c r="B23" s="21" t="s">
        <v>85</v>
      </c>
      <c r="C23" s="43">
        <f t="shared" ref="C23:E23" si="6">C15+C21+C22</f>
        <v>1602831.7812993517</v>
      </c>
      <c r="D23" s="43">
        <f t="shared" si="6"/>
        <v>1600955.9984751947</v>
      </c>
      <c r="E23" s="43">
        <f t="shared" si="6"/>
        <v>1589073.1361977891</v>
      </c>
      <c r="F23" s="43">
        <f t="shared" ref="F23:K23" si="7">F15+F21+F22</f>
        <v>1470333.8978270469</v>
      </c>
      <c r="G23" s="43">
        <f t="shared" si="7"/>
        <v>1450469.6944943639</v>
      </c>
      <c r="H23" s="43">
        <f t="shared" si="7"/>
        <v>1401851.1157468108</v>
      </c>
      <c r="I23" s="43">
        <f t="shared" si="7"/>
        <v>1374356.2577811982</v>
      </c>
      <c r="J23" s="43">
        <f t="shared" si="7"/>
        <v>1658908.3135250399</v>
      </c>
      <c r="K23" s="43">
        <f t="shared" si="7"/>
        <v>1644857.3217883788</v>
      </c>
      <c r="L23" s="43">
        <f t="shared" ref="L23:M23" si="8">L15+L21+L22</f>
        <v>1574258.8801297522</v>
      </c>
      <c r="M23" s="43">
        <f t="shared" si="8"/>
        <v>1554819.9717555833</v>
      </c>
    </row>
    <row r="24" spans="2:14" ht="13.5" thickTop="1" x14ac:dyDescent="0.2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2:14" ht="15" x14ac:dyDescent="0.25">
      <c r="B25" s="21" t="s">
        <v>86</v>
      </c>
    </row>
    <row r="26" spans="2:14" x14ac:dyDescent="0.2">
      <c r="B26" s="20" t="s">
        <v>87</v>
      </c>
      <c r="C26" s="28">
        <f>1464100*('2023 IR Data Book'!$A$5)</f>
        <v>398654.90388280782</v>
      </c>
      <c r="D26" s="28">
        <f>1464100*('2023 IR Data Book'!$A$5)</f>
        <v>398654.90388280782</v>
      </c>
      <c r="E26" s="28">
        <f>1464100*('2023 IR Data Book'!$A$5)</f>
        <v>398654.90388280782</v>
      </c>
      <c r="F26" s="28">
        <f>1464100*('2023 IR Data Book'!$A$5)</f>
        <v>398654.90388280782</v>
      </c>
      <c r="G26" s="28">
        <f>1464100*('2023 IR Data Book'!$A$5)</f>
        <v>398654.90388280782</v>
      </c>
      <c r="H26" s="28">
        <f>1464100.0005029*('2023 IR Data Book'!$A$5)</f>
        <v>398654.90401974076</v>
      </c>
      <c r="I26" s="28">
        <f>1464100.0005029*(('2023 IR Data Book'!$A$5))</f>
        <v>398654.90401974076</v>
      </c>
      <c r="J26" s="28">
        <f>1464100.0005029*(('2023 IR Data Book'!$A$5))</f>
        <v>398654.90401974076</v>
      </c>
      <c r="K26" s="28">
        <f>1464100*(('2023 IR Data Book'!$A$5))</f>
        <v>398654.90388280782</v>
      </c>
      <c r="L26" s="28">
        <f>1464100.0005029*((('2023 IR Data Book'!$A$5)))</f>
        <v>398654.90401974076</v>
      </c>
      <c r="M26" s="28">
        <f>1464100.0004904*((('2023 IR Data Book'!$A$5)))</f>
        <v>398654.90401633718</v>
      </c>
    </row>
    <row r="27" spans="2:14" x14ac:dyDescent="0.2">
      <c r="B27" s="20" t="s">
        <v>88</v>
      </c>
      <c r="C27" s="28">
        <f>408929*('2023 IR Data Book'!$A$5)</f>
        <v>111345.91297718236</v>
      </c>
      <c r="D27" s="28">
        <f>408929*('2023 IR Data Book'!$A$5)</f>
        <v>111345.91297718236</v>
      </c>
      <c r="E27" s="28">
        <f>(387956)*('2023 IR Data Book'!$A$5)</f>
        <v>105635.24478571038</v>
      </c>
      <c r="F27" s="28">
        <f>440802*('2023 IR Data Book'!$A$5)</f>
        <v>120024.50579970592</v>
      </c>
      <c r="G27" s="28">
        <f>440802*('2023 IR Data Book'!$A$5)</f>
        <v>120024.50579970592</v>
      </c>
      <c r="H27" s="28">
        <f>440802.007164254*('2023 IR Data Book'!$A$5)</f>
        <v>120024.50775043675</v>
      </c>
      <c r="I27" s="28">
        <f>440802.009766593*(('2023 IR Data Book'!$A$5))</f>
        <v>120024.50845901894</v>
      </c>
      <c r="J27" s="28">
        <f>471733.646084619*(('2023 IR Data Book'!$A$5))</f>
        <v>128446.78050553259</v>
      </c>
      <c r="K27" s="28">
        <f>471734*(('2023 IR Data Book'!$A$5))</f>
        <v>128446.8768719708</v>
      </c>
      <c r="L27" s="28">
        <f>471733.646084619*((('2023 IR Data Book'!$A$5)))</f>
        <v>128446.78050553259</v>
      </c>
      <c r="M27" s="28">
        <f>471733.645825985*((('2023 IR Data Book'!$A$5)))</f>
        <v>128446.78043510999</v>
      </c>
    </row>
    <row r="28" spans="2:14" x14ac:dyDescent="0.2">
      <c r="B28" s="20" t="s">
        <v>89</v>
      </c>
      <c r="C28" s="28">
        <f>-346490*('2023 IR Data Book'!$A$5)</f>
        <v>-94344.606001198059</v>
      </c>
      <c r="D28" s="28">
        <f>-330959*('2023 IR Data Book'!$A$5)</f>
        <v>-90115.721831944669</v>
      </c>
      <c r="E28" s="28">
        <f>-245213*('2023 IR Data Book'!$A$5)</f>
        <v>-66768.229592114571</v>
      </c>
      <c r="F28" s="28">
        <f>-398529*('2023 IR Data Book'!$A$5)</f>
        <v>-108514.13167783042</v>
      </c>
      <c r="G28" s="28">
        <f>-434219*('2023 IR Data Book'!$A$5)</f>
        <v>-118232.04269454881</v>
      </c>
      <c r="H28" s="28">
        <f>-440973.294269109*('2023 IR Data Book'!$A$5)</f>
        <v>-120071.14694470103</v>
      </c>
      <c r="I28" s="28">
        <f>-458575.470851612*(('2023 IR Data Book'!$A$5))</f>
        <v>-124863.98487491476</v>
      </c>
      <c r="J28" s="28">
        <f>-529431.253823377*(('2023 IR Data Book'!$A$5))</f>
        <v>-144157.06960283639</v>
      </c>
      <c r="K28" s="28">
        <f>-547489*(('2023 IR Data Book'!$A$5))</f>
        <v>-149073.95305777923</v>
      </c>
      <c r="L28" s="28">
        <f>-556762.542076393*((('2023 IR Data Book'!$A$5)))</f>
        <v>-151599.01488765262</v>
      </c>
      <c r="M28" s="28">
        <f>-549693.668729393*((('2023 IR Data Book'!$A$5)))</f>
        <v>-149674.25495000626</v>
      </c>
      <c r="N28" s="247"/>
    </row>
    <row r="29" spans="2:14" x14ac:dyDescent="0.2">
      <c r="B29" s="20" t="s">
        <v>90</v>
      </c>
      <c r="C29" s="28">
        <f>-335186*('2023 IR Data Book'!$A$5)</f>
        <v>-91266.677558133204</v>
      </c>
      <c r="D29" s="28">
        <f>-335186*('2023 IR Data Book'!$A$5)</f>
        <v>-91266.677558133204</v>
      </c>
      <c r="E29" s="28">
        <f>(-329759)*('2023 IR Data Book'!$A$5)</f>
        <v>-89788.977835865589</v>
      </c>
      <c r="F29" s="28">
        <f>-329759*('2023 IR Data Book'!$A$5)</f>
        <v>-89788.977835865589</v>
      </c>
      <c r="G29" s="28">
        <f>-329759*('2023 IR Data Book'!$A$5)</f>
        <v>-89788.977835865589</v>
      </c>
      <c r="H29" s="28">
        <f>-329758.835389051*('2023 IR Data Book'!$A$5)</f>
        <v>-89788.933014499533</v>
      </c>
      <c r="I29" s="28">
        <f>-329758.835389051*(('2023 IR Data Book'!$A$5))</f>
        <v>-89788.933014499533</v>
      </c>
      <c r="J29" s="28">
        <f>-329908.082507851*(('2023 IR Data Book'!$A$5))</f>
        <v>-89829.571014499539</v>
      </c>
      <c r="K29" s="28">
        <f>-329908*(('2023 IR Data Book'!$A$5))</f>
        <v>-89829.548548712075</v>
      </c>
      <c r="L29" s="28">
        <f>-336985.876829251*((('2023 IR Data Book'!$A$5)))</f>
        <v>-91756.760014499538</v>
      </c>
      <c r="M29" s="28">
        <f>-336985.876829251*((('2023 IR Data Book'!$A$5)))</f>
        <v>-91756.760014499538</v>
      </c>
    </row>
    <row r="30" spans="2:14" x14ac:dyDescent="0.2">
      <c r="B30" s="20" t="s">
        <v>91</v>
      </c>
      <c r="C30" s="28">
        <f>-7123*('2023 IR Data Book'!$A$5)</f>
        <v>-1939.4979033926918</v>
      </c>
      <c r="D30" s="28">
        <f>-7148*('2023 IR Data Book'!$A$5)</f>
        <v>-1946.3050699776725</v>
      </c>
      <c r="E30" s="28">
        <f>-12372*('2023 IR Data Book'!$A$5)</f>
        <v>-3368.7305995752326</v>
      </c>
      <c r="F30" s="28">
        <f>-12008*('2023 IR Data Book'!$A$5)</f>
        <v>-3269.6182540979139</v>
      </c>
      <c r="G30" s="28">
        <f>-11881*('2023 IR Data Book'!$A$5)</f>
        <v>-3235.0378478462121</v>
      </c>
      <c r="H30" s="28">
        <f>-12015.4950132358*('2023 IR Data Book'!$A$5)</f>
        <v>-3271.6590462440236</v>
      </c>
      <c r="I30" s="28">
        <f>-12031.0908187677*(('2023 IR Data Book'!$A$5))</f>
        <v>-3275.9055760953274</v>
      </c>
      <c r="J30" s="28">
        <f>-11804.0196227111*(('2023 IR Data Book'!$A$5))</f>
        <v>-3214.077117767004</v>
      </c>
      <c r="K30" s="28">
        <f>-11806*(('2023 IR Data Book'!$A$5))</f>
        <v>-3214.6163480912705</v>
      </c>
      <c r="L30" s="28">
        <f>-11810.2691153082*((('2023 IR Data Book'!$A$5)))</f>
        <v>-3215.7787712542067</v>
      </c>
      <c r="M30" s="28">
        <f>-11900.435236126*((('2023 IR Data Book'!$A$5)))</f>
        <v>-3240.3298034433374</v>
      </c>
    </row>
    <row r="31" spans="2:14" x14ac:dyDescent="0.2">
      <c r="B31" s="20" t="s">
        <v>92</v>
      </c>
      <c r="C31" s="35">
        <f>1549217*('2023 IR Data Book'!$A$5)</f>
        <v>421831.12781135977</v>
      </c>
      <c r="D31" s="35">
        <f>1424350*('2023 IR Data Book'!$A$5)</f>
        <v>387831.50901268853</v>
      </c>
      <c r="E31" s="35">
        <f>1507169*('2023 IR Data Book'!$A$5)</f>
        <v>410382.01818874909</v>
      </c>
      <c r="F31" s="35">
        <f>1500570*('2023 IR Data Book'!$A$5)</f>
        <v>408585.19849697762</v>
      </c>
      <c r="G31" s="35">
        <f>1547872*('2023 IR Data Book'!$A$5)</f>
        <v>421464.90224908781</v>
      </c>
      <c r="H31" s="35">
        <f>1402107.88355813*('2023 IR Data Book'!$A$5)</f>
        <v>381775.27733979467</v>
      </c>
      <c r="I31" s="35">
        <f>1441751.34506467*(('2023 IR Data Book'!$A$5))</f>
        <v>392569.66319900617</v>
      </c>
      <c r="J31" s="35">
        <f>1444833.6974776*(('2023 IR Data Book'!$A$5))</f>
        <v>393408.94665294344</v>
      </c>
      <c r="K31" s="35">
        <f>1468741.61847322*(('2023 IR Data Book'!$A$5))</f>
        <v>399918.75468965305</v>
      </c>
      <c r="L31" s="35">
        <f>1348122.32361925*((('2023 IR Data Book'!$A$5)))</f>
        <v>367075.72935229808</v>
      </c>
      <c r="M31" s="35">
        <f>1357763.60136063*((('2023 IR Data Book'!$A$5)))</f>
        <v>369700.92069940368</v>
      </c>
    </row>
    <row r="32" spans="2:14" x14ac:dyDescent="0.2"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2:14" ht="15" x14ac:dyDescent="0.25">
      <c r="B33" s="21" t="s">
        <v>93</v>
      </c>
      <c r="C33" s="28">
        <f>(SUM(C26:C32))</f>
        <v>744281.16320862598</v>
      </c>
      <c r="D33" s="28">
        <f t="shared" ref="D33:H33" si="9">(SUM(D26:D32))</f>
        <v>714503.62141262321</v>
      </c>
      <c r="E33" s="28">
        <f t="shared" si="9"/>
        <v>754746.22882971191</v>
      </c>
      <c r="F33" s="28">
        <f t="shared" si="9"/>
        <v>725691.88041169744</v>
      </c>
      <c r="G33" s="28">
        <f t="shared" si="9"/>
        <v>728888.25355334091</v>
      </c>
      <c r="H33" s="28">
        <f t="shared" si="9"/>
        <v>687322.95010452764</v>
      </c>
      <c r="I33" s="28">
        <f t="shared" ref="I33:J33" si="10">(SUM(I26:I32))</f>
        <v>693320.25221225619</v>
      </c>
      <c r="J33" s="28">
        <f t="shared" si="10"/>
        <v>683309.91344311391</v>
      </c>
      <c r="K33" s="28">
        <f t="shared" ref="K33" si="11">(SUM(K26:K32))</f>
        <v>684902.41748984915</v>
      </c>
      <c r="L33" s="28">
        <f>2378397.28218582*((('2023 IR Data Book'!$A$5)))</f>
        <v>647605.86020416592</v>
      </c>
      <c r="M33" s="28">
        <f>2395017.26688225*((('2023 IR Data Book'!$A$5)))</f>
        <v>652131.26038290316</v>
      </c>
      <c r="N33" s="247"/>
    </row>
    <row r="34" spans="2:14" x14ac:dyDescent="0.2">
      <c r="B34" s="20" t="s">
        <v>94</v>
      </c>
      <c r="C34" s="28">
        <f>14620*('2023 IR Data Book'!$A$5)</f>
        <v>3980.8310188966943</v>
      </c>
      <c r="D34" s="28">
        <f>14046*('2023 IR Data Book'!$A$5)</f>
        <v>3824.5384741055382</v>
      </c>
      <c r="E34" s="28">
        <f>11564*('2023 IR Data Book'!$A$5)</f>
        <v>3148.7229755486574</v>
      </c>
      <c r="F34" s="28">
        <f>10817*('2023 IR Data Book'!$A$5)</f>
        <v>2945.3248379894353</v>
      </c>
      <c r="G34" s="28">
        <f>10634*('2023 IR Data Book'!$A$5)</f>
        <v>2895.4963785873765</v>
      </c>
      <c r="H34" s="28">
        <f>9944.41812074526*('2023 IR Data Book'!$A$5)</f>
        <v>2707.7324295445351</v>
      </c>
      <c r="I34" s="28">
        <f>9251.50572697743*(('2023 IR Data Book'!$A$5))</f>
        <v>2519.0616258175214</v>
      </c>
      <c r="J34" s="28">
        <f>8864.92509707935*(('2023 IR Data Book'!$A$5))</f>
        <v>2413.8008759678019</v>
      </c>
      <c r="K34" s="28">
        <f>8880*(('2023 IR Data Book'!$A$5))</f>
        <v>2417.9055709851332</v>
      </c>
      <c r="L34" s="28">
        <f>7374.89694070358*((('2023 IR Data Book'!$A$5)))</f>
        <v>2008.0860808973425</v>
      </c>
      <c r="M34" s="28">
        <f>6366.72801917138*((('2023 IR Data Book'!$A$5)))</f>
        <v>1733.5751291105428</v>
      </c>
    </row>
    <row r="35" spans="2:14" ht="15.75" thickBot="1" x14ac:dyDescent="0.3">
      <c r="B35" s="21" t="s">
        <v>95</v>
      </c>
      <c r="C35" s="42">
        <f t="shared" ref="C35:E35" si="12">SUM(C33:C34)</f>
        <v>748261.99422752263</v>
      </c>
      <c r="D35" s="42">
        <f t="shared" si="12"/>
        <v>718328.15988672874</v>
      </c>
      <c r="E35" s="42">
        <f t="shared" si="12"/>
        <v>757894.95180526061</v>
      </c>
      <c r="F35" s="42">
        <f t="shared" ref="F35:K35" si="13">SUM(F33:F34)</f>
        <v>728637.20524968684</v>
      </c>
      <c r="G35" s="42">
        <f t="shared" si="13"/>
        <v>731783.74993192824</v>
      </c>
      <c r="H35" s="42">
        <f t="shared" si="13"/>
        <v>690030.6825340722</v>
      </c>
      <c r="I35" s="42">
        <f t="shared" si="13"/>
        <v>695839.31383807375</v>
      </c>
      <c r="J35" s="42">
        <f t="shared" si="13"/>
        <v>685723.71431908174</v>
      </c>
      <c r="K35" s="42">
        <f t="shared" si="13"/>
        <v>687320.32306083431</v>
      </c>
      <c r="L35" s="42">
        <f t="shared" ref="L35:M35" si="14">SUM(L33:L34)</f>
        <v>649613.94628506328</v>
      </c>
      <c r="M35" s="42">
        <f t="shared" si="14"/>
        <v>653864.83551201376</v>
      </c>
    </row>
    <row r="36" spans="2:14" x14ac:dyDescent="0.2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2:14" ht="15" x14ac:dyDescent="0.25">
      <c r="B37" s="21" t="s">
        <v>96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2:14" ht="15" x14ac:dyDescent="0.25">
      <c r="B38" s="21" t="s">
        <v>97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2:14" x14ac:dyDescent="0.2">
      <c r="B39" s="20" t="s">
        <v>98</v>
      </c>
      <c r="C39" s="28">
        <f>155368*('2023 IR Data Book'!$A$5)</f>
        <v>42304.634319011049</v>
      </c>
      <c r="D39" s="28">
        <f>146488*('2023 IR Data Book'!$A$5)</f>
        <v>39886.728748025918</v>
      </c>
      <c r="E39" s="28">
        <f>139069*('2023 IR Data Book'!$A$5)</f>
        <v>37866.63399226706</v>
      </c>
      <c r="F39" s="28">
        <f>137259*('2023 IR Data Book'!$A$5)</f>
        <v>37373.79513151446</v>
      </c>
      <c r="G39" s="28">
        <f>137922*('2023 IR Data Book'!$A$5)</f>
        <v>37554.321189348142</v>
      </c>
      <c r="H39" s="28">
        <f>122172.398073862*('2023 IR Data Book'!$A$5)</f>
        <v>33265.914631013991</v>
      </c>
      <c r="I39" s="28">
        <f>110045.869283579*(('2023 IR Data Book'!$A$5))</f>
        <v>29964.022568093176</v>
      </c>
      <c r="J39" s="28">
        <f>1086304.43086358*(('2023 IR Data Book'!$A$5))</f>
        <v>295786.20891564013</v>
      </c>
      <c r="K39" s="28">
        <f>1087207*(('2023 IR Data Book'!$A$5))</f>
        <v>296031.96645428304</v>
      </c>
      <c r="L39" s="28">
        <f>1088847.78888998*((('2023 IR Data Book'!$A$5)))</f>
        <v>296478.73138647823</v>
      </c>
      <c r="M39" s="28">
        <f>1076661.32367452*((('2023 IR Data Book'!$A$5)))</f>
        <v>293160.51943432988</v>
      </c>
    </row>
    <row r="40" spans="2:14" x14ac:dyDescent="0.2">
      <c r="B40" s="20" t="s">
        <v>99</v>
      </c>
      <c r="C40" s="28">
        <f>669312*('2023 IR Data Book'!$A$5)</f>
        <v>182244.73125306322</v>
      </c>
      <c r="D40" s="28">
        <f>720024*('2023 IR Data Book'!$A$5)</f>
        <v>196052.93252736481</v>
      </c>
      <c r="E40" s="28">
        <f>730981*('2023 IR Data Book'!$A$5)</f>
        <v>199036.37749823014</v>
      </c>
      <c r="F40" s="28">
        <f>754933*('2023 IR Data Book'!$A$5)</f>
        <v>205558.18765996842</v>
      </c>
      <c r="G40" s="28">
        <f>744238*('2023 IR Data Book'!$A$5)</f>
        <v>202646.08179491368</v>
      </c>
      <c r="H40" s="28">
        <f>794947.789637232*('2023 IR Data Book'!$A$5)</f>
        <v>216453.68121691226</v>
      </c>
      <c r="I40" s="28">
        <f>774058.801887165*(('2023 IR Data Book'!$A$5))</f>
        <v>210765.88844065921</v>
      </c>
      <c r="J40" s="28">
        <f>757036.036674961*(('2023 IR Data Book'!$A$5))</f>
        <v>206130.81649919975</v>
      </c>
      <c r="K40" s="28">
        <f>784551*(('2023 IR Data Book'!$A$5))</f>
        <v>213622.77405652669</v>
      </c>
      <c r="L40" s="28">
        <f>772653.982024996*((('2023 IR Data Book'!$A$5)))</f>
        <v>210383.37472771222</v>
      </c>
      <c r="M40" s="28">
        <f>749747.858117818*((('2023 IR Data Book'!$A$5)))</f>
        <v>204146.34267761747</v>
      </c>
    </row>
    <row r="41" spans="2:14" x14ac:dyDescent="0.2">
      <c r="B41" s="20" t="s">
        <v>100</v>
      </c>
      <c r="C41" s="28">
        <f>152120*('2023 IR Data Book'!$A$5)</f>
        <v>41420.247236290365</v>
      </c>
      <c r="D41" s="28">
        <f>151634*('2023 IR Data Book'!$A$5)</f>
        <v>41287.915917878337</v>
      </c>
      <c r="E41" s="28">
        <f>151071*('2023 IR Data Book'!$A$5)</f>
        <v>41134.618526384576</v>
      </c>
      <c r="F41" s="28">
        <f>148822*('2023 IR Data Book'!$A$5)</f>
        <v>40522.245820399716</v>
      </c>
      <c r="G41" s="28">
        <f>148248*('2023 IR Data Book'!$A$5)</f>
        <v>40365.953275608561</v>
      </c>
      <c r="H41" s="28">
        <f>152316.131298976*('2023 IR Data Book'!$A$5)</f>
        <v>41473.651173276696</v>
      </c>
      <c r="I41" s="28">
        <f>154912.371507284*(('2023 IR Data Book'!$A$5))</f>
        <v>42180.572756979796</v>
      </c>
      <c r="J41" s="28">
        <f>164135.805930721*(('2023 IR Data Book'!$A$5))</f>
        <v>44691.990941219025</v>
      </c>
      <c r="K41" s="28">
        <f>162637*(('2023 IR Data Book'!$A$5))</f>
        <v>44283.88607526003</v>
      </c>
      <c r="L41" s="28">
        <f>165335.750656825*((('2023 IR Data Book'!$A$5)))</f>
        <v>45018.719886953382</v>
      </c>
      <c r="M41" s="28">
        <f>169613.640533266*((('2023 IR Data Book'!$A$5)))</f>
        <v>46183.532247798837</v>
      </c>
    </row>
    <row r="42" spans="2:14" x14ac:dyDescent="0.2">
      <c r="B42" s="20" t="s">
        <v>101</v>
      </c>
      <c r="C42" s="28">
        <f>58340*('2023 IR Data Book'!$A$5)</f>
        <v>15885.203942710885</v>
      </c>
      <c r="D42" s="28">
        <f>60872*('2023 IR Data Book'!$A$5)</f>
        <v>16574.633774437727</v>
      </c>
      <c r="E42" s="28">
        <f>67701*('2023 IR Data Book'!$A$5)</f>
        <v>18434.079398791047</v>
      </c>
      <c r="F42" s="28">
        <f>42114*('2023 IR Data Book'!$A$5)</f>
        <v>11467.080542395033</v>
      </c>
      <c r="G42" s="28">
        <f>41398*('2023 IR Data Book'!$A$5)</f>
        <v>11272.123291401187</v>
      </c>
      <c r="H42" s="28">
        <f>37510.7120458181*('2023 IR Data Book'!$A$5)</f>
        <v>10213.666624684991</v>
      </c>
      <c r="I42" s="28">
        <f>31682.782300513*(('2023 IR Data Book'!$A$5))</f>
        <v>8626.7990798107603</v>
      </c>
      <c r="J42" s="28">
        <f>30828.0311206542*(('2023 IR Data Book'!$A$5))</f>
        <v>8394.061733010456</v>
      </c>
      <c r="K42" s="28">
        <f>30172*(('2023 IR Data Book'!$A$5))</f>
        <v>8215.4332080814675</v>
      </c>
      <c r="L42" s="28">
        <f>32589.7197498808*((('2023 IR Data Book'!$A$5)))</f>
        <v>8873.7460518109237</v>
      </c>
      <c r="M42" s="28">
        <f>32520.9410235478*((('2023 IR Data Book'!$A$5)))</f>
        <v>8855.0185219048617</v>
      </c>
      <c r="N42" s="247"/>
    </row>
    <row r="43" spans="2:14" x14ac:dyDescent="0.2">
      <c r="B43" s="20" t="s">
        <v>102</v>
      </c>
      <c r="C43" s="28">
        <f>0*('2023 IR Data Book'!$A$5)</f>
        <v>0</v>
      </c>
      <c r="D43" s="28">
        <f>0*('2023 IR Data Book'!$A$5)</f>
        <v>0</v>
      </c>
      <c r="E43" s="28">
        <f>18964*('2023 IR Data Book'!$A$5)</f>
        <v>5163.6442847029348</v>
      </c>
      <c r="F43" s="28">
        <f>18305*('2023 IR Data Book'!$A$5)</f>
        <v>4984.2073735228441</v>
      </c>
      <c r="G43" s="28">
        <f>18047*('2023 IR Data Book'!$A$5)</f>
        <v>4913.9574143658438</v>
      </c>
      <c r="H43" s="28">
        <f>15709.402135929*('2023 IR Data Book'!$A$5)</f>
        <v>4277.4606915887925</v>
      </c>
      <c r="I43" s="28">
        <f>13870.2658370159*(('2023 IR Data Book'!$A$5))</f>
        <v>3776.6884052213418</v>
      </c>
      <c r="J43" s="28">
        <f>15960.5818464282*(('2023 IR Data Book'!$A$5))</f>
        <v>4345.8535768742031</v>
      </c>
      <c r="K43" s="28">
        <f>14343*(('2023 IR Data Book'!$A$5))</f>
        <v>3905.4076131351085</v>
      </c>
      <c r="L43" s="28">
        <f>13510.6061910751*((('2023 IR Data Book'!$A$5)))</f>
        <v>3678.757880268774</v>
      </c>
      <c r="M43" s="28">
        <f>12803.0475773521*((('2023 IR Data Book'!$A$5)))</f>
        <v>3486.0991061787558</v>
      </c>
    </row>
    <row r="44" spans="2:14" ht="15.75" thickBot="1" x14ac:dyDescent="0.3">
      <c r="C44" s="42">
        <f t="shared" ref="C44:E44" si="15">SUM(C39:C43)</f>
        <v>281854.8167510755</v>
      </c>
      <c r="D44" s="42">
        <f t="shared" si="15"/>
        <v>293802.21096770681</v>
      </c>
      <c r="E44" s="42">
        <f t="shared" si="15"/>
        <v>301635.35370037582</v>
      </c>
      <c r="F44" s="42">
        <f t="shared" ref="F44:K44" si="16">SUM(F39:F43)</f>
        <v>299905.51652780047</v>
      </c>
      <c r="G44" s="42">
        <f t="shared" si="16"/>
        <v>296752.43696563743</v>
      </c>
      <c r="H44" s="42">
        <f t="shared" si="16"/>
        <v>305684.37433747674</v>
      </c>
      <c r="I44" s="42">
        <f t="shared" si="16"/>
        <v>295313.97125076427</v>
      </c>
      <c r="J44" s="42">
        <f t="shared" si="16"/>
        <v>559348.93166594359</v>
      </c>
      <c r="K44" s="42">
        <f t="shared" si="16"/>
        <v>566059.46740728628</v>
      </c>
      <c r="L44" s="42">
        <f t="shared" ref="L44:M44" si="17">SUM(L39:L43)</f>
        <v>564433.32993322343</v>
      </c>
      <c r="M44" s="42">
        <f t="shared" si="17"/>
        <v>555831.51198782981</v>
      </c>
    </row>
    <row r="45" spans="2:14" ht="15" x14ac:dyDescent="0.25">
      <c r="B45" s="21" t="s">
        <v>103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2:14" x14ac:dyDescent="0.2">
      <c r="B46" s="20" t="s">
        <v>104</v>
      </c>
      <c r="C46" s="28">
        <f>301582*('2023 IR Data Book'!$A$5)</f>
        <v>82116.75652126559</v>
      </c>
      <c r="D46" s="28">
        <f>318984*('2023 IR Data Book'!$A$5)</f>
        <v>86855.08903773893</v>
      </c>
      <c r="E46" s="28">
        <f>296363*('2023 IR Data Book'!$A$5)</f>
        <v>80695.692424985027</v>
      </c>
      <c r="F46" s="28">
        <f>344120*('2023 IR Data Book'!$A$5)</f>
        <v>93699.286608941882</v>
      </c>
      <c r="G46" s="28">
        <f>311248*('2023 IR Data Book'!$A$5)</f>
        <v>84748.679409682503</v>
      </c>
      <c r="H46" s="28">
        <f>270356.066055253*('2023 IR Data Book'!$A$5)</f>
        <v>73614.35115592576</v>
      </c>
      <c r="I46" s="28">
        <f>250079.639366778*(('2023 IR Data Book'!$A$5))</f>
        <v>68093.350587261884</v>
      </c>
      <c r="J46" s="28">
        <f>324776.31091803*(('2023 IR Data Book'!$A$5))</f>
        <v>88432.258050980221</v>
      </c>
      <c r="K46" s="28">
        <f>311788*(('2023 IR Data Book'!$A$5))</f>
        <v>84895.714207918092</v>
      </c>
      <c r="L46" s="28">
        <f>308798.462235073*((('2023 IR Data Book'!$A$5)))</f>
        <v>84081.702944800127</v>
      </c>
      <c r="M46" s="28">
        <f>304316.87139823*((('2023 IR Data Book'!$A$5)))</f>
        <v>82861.425529115615</v>
      </c>
    </row>
    <row r="47" spans="2:14" x14ac:dyDescent="0.2">
      <c r="B47" s="20" t="s">
        <v>99</v>
      </c>
      <c r="C47" s="28">
        <f>171726*('2023 IR Data Book'!$A$5)</f>
        <v>46758.699558895605</v>
      </c>
      <c r="D47" s="28">
        <f>166802*('2023 IR Data Book'!$A$5)</f>
        <v>45417.960028317808</v>
      </c>
      <c r="E47" s="28">
        <f>179242*('2023 IR Data Book'!$A$5)</f>
        <v>48805.206121004194</v>
      </c>
      <c r="F47" s="28">
        <f>180382*('2023 IR Data Book'!$A$5)</f>
        <v>49115.612917279308</v>
      </c>
      <c r="G47" s="28">
        <f>185454*('2023 IR Data Book'!$A$5)</f>
        <v>50496.650874040184</v>
      </c>
      <c r="H47" s="28">
        <f>181930.801708948*('2023 IR Data Book'!$A$5)</f>
        <v>49537.330966875787</v>
      </c>
      <c r="I47" s="28">
        <f>178491.574249645*(('2023 IR Data Book'!$A$5))</f>
        <v>48600.875197311165</v>
      </c>
      <c r="J47" s="28">
        <f>181687.195623764*(('2023 IR Data Book'!$A$5))</f>
        <v>49471.000278757281</v>
      </c>
      <c r="K47" s="28">
        <f>185955*(('2023 IR Data Book'!$A$5))</f>
        <v>50633.066492403203</v>
      </c>
      <c r="L47" s="28">
        <f>185034.134932906*((('2023 IR Data Book'!$A$5)))</f>
        <v>50382.327215843266</v>
      </c>
      <c r="M47" s="28">
        <f>177717.865379398*((('2023 IR Data Book'!$A$5)))</f>
        <v>48390.204590589223</v>
      </c>
    </row>
    <row r="48" spans="2:14" x14ac:dyDescent="0.2">
      <c r="B48" s="20" t="s">
        <v>105</v>
      </c>
      <c r="C48" s="28">
        <f>145843*('2023 IR Data Book'!$A$5)</f>
        <v>39711.103850133419</v>
      </c>
      <c r="D48" s="28">
        <f>155122*('2023 IR Data Book'!$A$5)</f>
        <v>42237.651799814841</v>
      </c>
      <c r="E48" s="28">
        <f>170128*('2023 IR Data Book'!$A$5)</f>
        <v>46323.585470783641</v>
      </c>
      <c r="F48" s="28">
        <f>153113*('2023 IR Data Book'!$A$5)</f>
        <v>41690.627893045799</v>
      </c>
      <c r="G48" s="28">
        <f>156134*('2023 IR Data Book'!$A$5)</f>
        <v>42513.205903174858</v>
      </c>
      <c r="H48" s="28">
        <f>136850.951749966*('2023 IR Data Book'!$A$5)</f>
        <v>37262.689035006806</v>
      </c>
      <c r="I48" s="28">
        <f>157196.561404239*(('2023 IR Data Book'!$A$5))</f>
        <v>42802.527202591897</v>
      </c>
      <c r="J48" s="28">
        <f>131353.241586093*(('2023 IR Data Book'!$A$5))</f>
        <v>35765.735878149811</v>
      </c>
      <c r="K48" s="28">
        <f>41340*(('2023 IR Data Book'!$A$5))</f>
        <v>11256.330664924031</v>
      </c>
      <c r="L48" s="28">
        <f>5518.31675756188*((('2023 IR Data Book'!$A$5)))</f>
        <v>1502.5640574965637</v>
      </c>
      <c r="M48" s="28">
        <f>8366.59113084477*((('2023 IR Data Book'!$A$5)))</f>
        <v>2278.1111830432856</v>
      </c>
    </row>
    <row r="49" spans="2:14" x14ac:dyDescent="0.2">
      <c r="B49" s="20" t="s">
        <v>106</v>
      </c>
      <c r="C49" s="28">
        <f>396594*('2023 IR Data Book'!$A$5)</f>
        <v>107987.2569841529</v>
      </c>
      <c r="D49" s="28">
        <f>396651*('2023 IR Data Book'!$A$5)</f>
        <v>108002.77732396667</v>
      </c>
      <c r="E49" s="28">
        <f>282409*('2023 IR Data Book'!$A$5)</f>
        <v>76896.204323912214</v>
      </c>
      <c r="F49" s="28">
        <f>27424*('2023 IR Data Book'!$A$5)</f>
        <v>7467.1894570603927</v>
      </c>
      <c r="G49" s="28">
        <f>29645*('2023 IR Data Book'!$A$5)</f>
        <v>8071.9381364700748</v>
      </c>
      <c r="H49" s="28">
        <f>30527.0124957848*('2023 IR Data Book'!$A$5)</f>
        <v>8312.0983760237432</v>
      </c>
      <c r="I49" s="28">
        <f>30784.9639042048*(('2023 IR Data Book'!$A$5))</f>
        <v>8382.3351043415569</v>
      </c>
      <c r="J49" s="28">
        <f>38865.3371067954*(('2023 IR Data Book'!$A$5))</f>
        <v>10582.512962695473</v>
      </c>
      <c r="K49" s="28">
        <f>48483*(('2023 IR Data Book'!$A$5))</f>
        <v>13201.274301584708</v>
      </c>
      <c r="L49" s="28">
        <f>50031.9790338532*((('2023 IR Data Book'!$A$5)))</f>
        <v>13623.040634387953</v>
      </c>
      <c r="M49" s="28">
        <f>48239.2246246378*((('2023 IR Data Book'!$A$5)))</f>
        <v>13134.89751800844</v>
      </c>
    </row>
    <row r="50" spans="2:14" x14ac:dyDescent="0.2">
      <c r="B50" s="20" t="s">
        <v>107</v>
      </c>
      <c r="C50" s="28">
        <f>80696*('2023 IR Data Book'!$A$5)</f>
        <v>21972.444589663995</v>
      </c>
      <c r="D50" s="28">
        <f>85881*('2023 IR Data Book'!$A$5)</f>
        <v>23384.250939388989</v>
      </c>
      <c r="E50" s="28">
        <f>94008*('2023 IR Data Book'!$A$5)</f>
        <v>25597.124652834504</v>
      </c>
      <c r="F50" s="28">
        <f>62547*('2023 IR Data Book'!$A$5)</f>
        <v>17030.713935631433</v>
      </c>
      <c r="G50" s="28">
        <f>63713*('2023 IR Data Book'!$A$5)</f>
        <v>17348.200185154928</v>
      </c>
      <c r="H50" s="28">
        <f>61136.7566261348*('2023 IR Data Book'!$A$5)</f>
        <v>16646.723472780806</v>
      </c>
      <c r="I50" s="28">
        <f>52704.6012868802*(('2023 IR Data Book'!$A$5))</f>
        <v>14350.760030191199</v>
      </c>
      <c r="J50" s="28">
        <f>46038.4362802212*(('2023 IR Data Book'!$A$5))</f>
        <v>12535.652202859335</v>
      </c>
      <c r="K50" s="28">
        <f>53500*(('2023 IR Data Book'!$A$5))</f>
        <v>14567.336491858629</v>
      </c>
      <c r="L50" s="28">
        <f>41844.3929693609*((('2023 IR Data Book'!$A$5)))</f>
        <v>11393.670143593339</v>
      </c>
      <c r="M50" s="28">
        <f>37998.3247776962*((('2023 IR Data Book'!$A$5)))</f>
        <v>10346.437068479061</v>
      </c>
    </row>
    <row r="51" spans="2:14" x14ac:dyDescent="0.2">
      <c r="B51" s="20" t="s">
        <v>108</v>
      </c>
      <c r="C51" s="28">
        <f>913390*('2023 IR Data Book'!$A$5)</f>
        <v>248703.91548221966</v>
      </c>
      <c r="D51" s="28">
        <f>947539*('2023 IR Data Book'!$A$5)</f>
        <v>258002.23275063987</v>
      </c>
      <c r="E51" s="28">
        <f>917790*('2023 IR Data Book'!$A$5)</f>
        <v>249901.97680117626</v>
      </c>
      <c r="F51" s="28">
        <f>850431*('2023 IR Data Book'!$A$5)</f>
        <v>231561.01944126777</v>
      </c>
      <c r="G51" s="28">
        <f>801300*('2023 IR Data Book'!$A$5)</f>
        <v>218183.30338180036</v>
      </c>
      <c r="H51" s="28">
        <f>809013.043521554*('2023 IR Data Book'!$A$5)</f>
        <v>220283.46226693731</v>
      </c>
      <c r="I51" s="28">
        <f>732255.651046816*(('2023 IR Data Book'!$A$5))</f>
        <v>199383.44797876599</v>
      </c>
      <c r="J51" s="28">
        <f>792225.528117139*(('2023 IR Data Book'!$A$5))</f>
        <v>215712.44571070603</v>
      </c>
      <c r="K51" s="28">
        <f>(53388+738756)*(('2023 IR Data Book'!$A$5))</f>
        <v>215690.24669171704</v>
      </c>
      <c r="L51" s="28">
        <f>727768.197714132*((('2023 IR Data Book'!$A$5)))</f>
        <v>198161.57428364974</v>
      </c>
      <c r="M51" s="28">
        <f>687428.756136055*((('2023 IR Data Book'!$A$5)))</f>
        <v>187177.68233296709</v>
      </c>
    </row>
    <row r="52" spans="2:14" ht="15.75" thickBot="1" x14ac:dyDescent="0.3">
      <c r="C52" s="42">
        <f t="shared" ref="C52:E52" si="18">SUM(C46:C51)</f>
        <v>547250.17698633112</v>
      </c>
      <c r="D52" s="42">
        <f t="shared" si="18"/>
        <v>563899.96187986713</v>
      </c>
      <c r="E52" s="42">
        <f t="shared" si="18"/>
        <v>528219.7897946958</v>
      </c>
      <c r="F52" s="42">
        <f t="shared" ref="F52:K52" si="19">SUM(F46:F51)</f>
        <v>440564.45025322656</v>
      </c>
      <c r="G52" s="42">
        <f t="shared" si="19"/>
        <v>421361.97789032292</v>
      </c>
      <c r="H52" s="42">
        <f t="shared" si="19"/>
        <v>405656.65527355019</v>
      </c>
      <c r="I52" s="42">
        <f t="shared" si="19"/>
        <v>381613.29610046372</v>
      </c>
      <c r="J52" s="42">
        <f t="shared" si="19"/>
        <v>412499.60508414812</v>
      </c>
      <c r="K52" s="42">
        <f t="shared" si="19"/>
        <v>390243.96885040571</v>
      </c>
      <c r="L52" s="42">
        <f t="shared" ref="L52:M52" si="20">SUM(L46:L51)</f>
        <v>359144.879279771</v>
      </c>
      <c r="M52" s="42">
        <f t="shared" si="20"/>
        <v>344188.75822220271</v>
      </c>
    </row>
    <row r="53" spans="2:14" x14ac:dyDescent="0.2">
      <c r="B53" s="20" t="s">
        <v>109</v>
      </c>
      <c r="C53" s="28">
        <f>93522*('2023 IR Data Book'!$A$5)</f>
        <v>25464.79333442248</v>
      </c>
      <c r="D53" s="28">
        <f>91542*('2023 IR Data Book'!$A$5)</f>
        <v>24925.665740892011</v>
      </c>
      <c r="E53" s="28">
        <f>4859*('2023 IR Data Book'!$A$5)</f>
        <v>1323.0408974568425</v>
      </c>
      <c r="F53" s="28">
        <f>4505*('2023 IR Data Book'!$A$5)</f>
        <v>1226.6514186135162</v>
      </c>
      <c r="G53" s="28">
        <f>2099*('2023 IR Data Book'!$A$5)</f>
        <v>571.52970647497682</v>
      </c>
      <c r="H53" s="28">
        <f>1760.28422364487*('2023 IR Data Book'!$A$5)</f>
        <v>479.30191789055982</v>
      </c>
      <c r="I53" s="28">
        <f>5838.24756504022*(('2023 IR Data Book'!$A$5))</f>
        <v>1589.6769495834612</v>
      </c>
      <c r="J53" s="28">
        <f>4906.82920986739*(('2023 IR Data Book'!$A$5))</f>
        <v>1336.0641534246556</v>
      </c>
      <c r="K53" s="28">
        <f>4530*(('2023 IR Data Book'!$A$5))</f>
        <v>1233.4585851984968</v>
      </c>
      <c r="L53" s="28">
        <f>3917.65053221425*((('2023 IR Data Book'!$A$5)))</f>
        <v>1066.7239917808226</v>
      </c>
      <c r="M53" s="28">
        <f>3433.39160844164*((('2023 IR Data Book'!$A$5)))</f>
        <v>934.86674520547842</v>
      </c>
    </row>
    <row r="54" spans="2:14" ht="15" x14ac:dyDescent="0.25">
      <c r="B54" s="21" t="s">
        <v>110</v>
      </c>
      <c r="C54" s="44">
        <f t="shared" ref="C54:E54" si="21">C52+C53+C44</f>
        <v>854569.7870718292</v>
      </c>
      <c r="D54" s="44">
        <f t="shared" si="21"/>
        <v>882627.83858846594</v>
      </c>
      <c r="E54" s="44">
        <f t="shared" si="21"/>
        <v>831178.18439252838</v>
      </c>
      <c r="F54" s="44">
        <f t="shared" ref="F54:K54" si="22">F52+F53+F44</f>
        <v>741696.61819964054</v>
      </c>
      <c r="G54" s="44">
        <f t="shared" si="22"/>
        <v>718685.94456243538</v>
      </c>
      <c r="H54" s="44">
        <f t="shared" si="22"/>
        <v>711820.33152891742</v>
      </c>
      <c r="I54" s="44">
        <f t="shared" si="22"/>
        <v>678516.9443008115</v>
      </c>
      <c r="J54" s="44">
        <f t="shared" si="22"/>
        <v>973184.6009035164</v>
      </c>
      <c r="K54" s="44">
        <f t="shared" si="22"/>
        <v>957536.89484289056</v>
      </c>
      <c r="L54" s="44">
        <f t="shared" ref="L54:M54" si="23">L52+L53+L44</f>
        <v>924644.93320477521</v>
      </c>
      <c r="M54" s="44">
        <f t="shared" si="23"/>
        <v>900955.13695523795</v>
      </c>
    </row>
    <row r="55" spans="2:14" ht="15.75" thickBot="1" x14ac:dyDescent="0.3">
      <c r="B55" s="21" t="s">
        <v>111</v>
      </c>
      <c r="C55" s="43">
        <f t="shared" ref="C55:E55" si="24">C54+C35</f>
        <v>1602831.7812993517</v>
      </c>
      <c r="D55" s="43">
        <f t="shared" si="24"/>
        <v>1600955.9984751947</v>
      </c>
      <c r="E55" s="43">
        <f t="shared" si="24"/>
        <v>1589073.1361977891</v>
      </c>
      <c r="F55" s="43">
        <f t="shared" ref="F55:K55" si="25">F54+F35</f>
        <v>1470333.8234493274</v>
      </c>
      <c r="G55" s="43">
        <f t="shared" si="25"/>
        <v>1450469.6944943636</v>
      </c>
      <c r="H55" s="43">
        <f t="shared" si="25"/>
        <v>1401851.0140629895</v>
      </c>
      <c r="I55" s="43">
        <f t="shared" si="25"/>
        <v>1374356.2581388853</v>
      </c>
      <c r="J55" s="43">
        <f t="shared" si="25"/>
        <v>1658908.3152225981</v>
      </c>
      <c r="K55" s="43">
        <f t="shared" si="25"/>
        <v>1644857.2179037249</v>
      </c>
      <c r="L55" s="43">
        <f t="shared" ref="L55:M55" si="26">L54+L35</f>
        <v>1574258.8794898386</v>
      </c>
      <c r="M55" s="43">
        <f t="shared" si="26"/>
        <v>1554819.9724672516</v>
      </c>
      <c r="N55" s="28"/>
    </row>
    <row r="56" spans="2:14" ht="13.5" thickTop="1" x14ac:dyDescent="0.2">
      <c r="C56" s="28">
        <f t="shared" ref="C56:E56" si="27">C55-C23</f>
        <v>0</v>
      </c>
      <c r="D56" s="28">
        <f t="shared" si="27"/>
        <v>0</v>
      </c>
      <c r="E56" s="28">
        <f t="shared" si="27"/>
        <v>0</v>
      </c>
      <c r="F56" s="28">
        <f t="shared" ref="F56:K56" si="28">F55-F23</f>
        <v>-7.4377719545736909E-2</v>
      </c>
      <c r="G56" s="28">
        <f t="shared" si="28"/>
        <v>0</v>
      </c>
      <c r="H56" s="28">
        <f t="shared" si="28"/>
        <v>-0.10168382129631937</v>
      </c>
      <c r="I56" s="28">
        <f t="shared" si="28"/>
        <v>3.5768700763583183E-4</v>
      </c>
      <c r="J56" s="28">
        <f t="shared" si="28"/>
        <v>1.6975582111626863E-3</v>
      </c>
      <c r="K56" s="28">
        <f t="shared" si="28"/>
        <v>-0.10388465388678014</v>
      </c>
      <c r="L56" s="28">
        <f t="shared" ref="L56:M56" si="29">L55-L23</f>
        <v>-6.3991360366344452E-4</v>
      </c>
      <c r="M56" s="28">
        <f t="shared" si="29"/>
        <v>7.1166828274726868E-4</v>
      </c>
      <c r="N56" s="240"/>
    </row>
    <row r="57" spans="2:14" x14ac:dyDescent="0.2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2:14" x14ac:dyDescent="0.2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2:14" x14ac:dyDescent="0.2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1" spans="2:14" x14ac:dyDescent="0.2">
      <c r="H61" s="210"/>
    </row>
    <row r="62" spans="2:14" x14ac:dyDescent="0.2">
      <c r="C62" s="28"/>
      <c r="H62" s="28"/>
    </row>
  </sheetData>
  <pageMargins left="0.7" right="0.7" top="0.75" bottom="0.75" header="0.3" footer="0.3"/>
  <pageSetup orientation="portrait" horizontalDpi="1200" verticalDpi="1200" r:id="rId1"/>
  <ignoredErrors>
    <ignoredError sqref="G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CDC0-9463-4CAE-9B07-BEAFA8E7E04A}">
  <dimension ref="A1:N82"/>
  <sheetViews>
    <sheetView showGridLines="0" workbookViewId="0">
      <pane xSplit="2" ySplit="2" topLeftCell="C67" activePane="bottomRight" state="frozen"/>
      <selection pane="topRight" activeCell="P28" sqref="P28"/>
      <selection pane="bottomLeft" activeCell="P28" sqref="P28"/>
      <selection pane="bottomRight" activeCell="B79" sqref="B79"/>
    </sheetView>
  </sheetViews>
  <sheetFormatPr defaultColWidth="9.140625" defaultRowHeight="12.75" x14ac:dyDescent="0.2"/>
  <cols>
    <col min="1" max="1" width="4.42578125" style="20" customWidth="1"/>
    <col min="2" max="2" width="57.28515625" style="20" customWidth="1"/>
    <col min="3" max="3" width="10.42578125" style="20" bestFit="1" customWidth="1"/>
    <col min="4" max="5" width="9.28515625" style="20" bestFit="1" customWidth="1"/>
    <col min="6" max="6" width="10.5703125" style="20" bestFit="1" customWidth="1"/>
    <col min="7" max="7" width="9.140625" style="20" customWidth="1"/>
    <col min="8" max="9" width="9.42578125" style="20" bestFit="1" customWidth="1"/>
    <col min="10" max="13" width="10" style="20" bestFit="1" customWidth="1"/>
    <col min="14" max="16384" width="9.140625" style="20"/>
  </cols>
  <sheetData>
    <row r="1" spans="1:13" x14ac:dyDescent="0.2">
      <c r="A1" s="163">
        <f>'2023 IR Data Book'!$A$5</f>
        <v>0.27228666339922669</v>
      </c>
    </row>
    <row r="2" spans="1:13" x14ac:dyDescent="0.2">
      <c r="B2" s="46" t="s">
        <v>112</v>
      </c>
      <c r="C2" s="130" t="s">
        <v>20</v>
      </c>
      <c r="D2" s="128" t="s">
        <v>21</v>
      </c>
      <c r="E2" s="130" t="s">
        <v>22</v>
      </c>
      <c r="F2" s="130" t="s">
        <v>23</v>
      </c>
      <c r="G2" s="130" t="s">
        <v>25</v>
      </c>
      <c r="H2" s="128" t="s">
        <v>26</v>
      </c>
      <c r="I2" s="128" t="s">
        <v>260</v>
      </c>
      <c r="J2" s="128" t="s">
        <v>279</v>
      </c>
      <c r="K2" s="128" t="s">
        <v>286</v>
      </c>
      <c r="L2" s="128" t="s">
        <v>300</v>
      </c>
      <c r="M2" s="128" t="s">
        <v>306</v>
      </c>
    </row>
    <row r="3" spans="1:13" x14ac:dyDescent="0.2">
      <c r="B3" s="47" t="s">
        <v>113</v>
      </c>
      <c r="C3" s="63">
        <f>69097*('2023 IR Data Book'!$A$5)</f>
        <v>18814.191580896368</v>
      </c>
      <c r="D3" s="63">
        <f>159318*('2023 IR Data Book'!$A$5)</f>
        <v>43380.166639438001</v>
      </c>
      <c r="E3" s="63">
        <f>215127*('2023 IR Data Book'!$A$5)</f>
        <v>58576.213037085443</v>
      </c>
      <c r="F3" s="63">
        <f>262224*('2023 IR Data Book'!$A$5)</f>
        <v>71400.098023198821</v>
      </c>
      <c r="G3" s="63">
        <f>66712.9745935493*('2023 IR Data Book'!$A$5)</f>
        <v>18165.053257514919</v>
      </c>
      <c r="H3" s="63">
        <f>120074*('2023 IR Data Book'!$A$5)</f>
        <v>32694.548820998745</v>
      </c>
      <c r="I3" s="63">
        <f>156381.225085283*(('2023 IR Data Book'!$A$5))</f>
        <v>42580.521996755153</v>
      </c>
      <c r="J3" s="63">
        <f>186694.205476693*(('2023 IR Data Book'!$A$5))</f>
        <v>50834.342285218372</v>
      </c>
      <c r="K3" s="63">
        <f>35460*(('2023 IR Data Book'!$A$5))</f>
        <v>9655.285084136578</v>
      </c>
      <c r="L3" s="63">
        <f>59454.7991793601*((('2023 IR Data Book'!$A$5)))</f>
        <v>16188.748891619043</v>
      </c>
      <c r="M3" s="63">
        <f>74802.4160019296*((('2023 IR Data Book'!$A$5)))</f>
        <v>20367.700267366334</v>
      </c>
    </row>
    <row r="4" spans="1:13" x14ac:dyDescent="0.2">
      <c r="B4" s="48" t="s">
        <v>114</v>
      </c>
      <c r="C4" s="63">
        <f>6880*('2023 IR Data Book'!$A$5)</f>
        <v>1873.3322441866796</v>
      </c>
      <c r="D4" s="63">
        <f>13094*('2023 IR Data Book'!$A$5)</f>
        <v>3565.3215705494745</v>
      </c>
      <c r="E4" s="63">
        <f>50222*('2023 IR Data Book'!$A$5)</f>
        <v>13674.780809235963</v>
      </c>
      <c r="F4" s="63">
        <f>49544*('2023 IR Data Book'!$A$5)</f>
        <v>13490.170451451288</v>
      </c>
      <c r="G4" s="63">
        <f>832*('2023 IR Data Book'!$A$5)</f>
        <v>226.54250394815659</v>
      </c>
      <c r="H4" s="63">
        <f>835*('2023 IR Data Book'!$A$5)</f>
        <v>227.35936393835428</v>
      </c>
      <c r="I4" s="63">
        <f>3625.53123332726*(('2023 IR Data Book'!$A$5))</f>
        <v>987.18380257236288</v>
      </c>
      <c r="J4" s="63">
        <f>4466.90315531137*(('2023 IR Data Book'!$A$5))</f>
        <v>1216.2781558872107</v>
      </c>
      <c r="K4" s="63">
        <f>-378*(('2023 IR Data Book'!$A$5))</f>
        <v>-102.92435876490769</v>
      </c>
      <c r="L4" s="63">
        <f>-934.725333492155*((('2023 IR Data Book'!$A$5)))</f>
        <v>-254.51324225130833</v>
      </c>
      <c r="M4" s="63">
        <f>-1303.91316605051*((('2023 IR Data Book'!$A$5)))</f>
        <v>-355.03816534621518</v>
      </c>
    </row>
    <row r="5" spans="1:13" ht="15" x14ac:dyDescent="0.2">
      <c r="B5" s="49" t="s">
        <v>115</v>
      </c>
      <c r="C5" s="64">
        <f t="shared" ref="C5:H5" si="0">SUM(C3:C4)</f>
        <v>20687.523825083048</v>
      </c>
      <c r="D5" s="64">
        <f t="shared" si="0"/>
        <v>46945.488209987474</v>
      </c>
      <c r="E5" s="64">
        <f t="shared" si="0"/>
        <v>72250.993846321406</v>
      </c>
      <c r="F5" s="64">
        <f t="shared" si="0"/>
        <v>84890.268474650104</v>
      </c>
      <c r="G5" s="64">
        <f t="shared" si="0"/>
        <v>18391.595761463075</v>
      </c>
      <c r="H5" s="64">
        <f t="shared" si="0"/>
        <v>32921.9081849371</v>
      </c>
      <c r="I5" s="64">
        <f t="shared" ref="I5:J5" si="1">SUM(I3:I4)</f>
        <v>43567.705799327516</v>
      </c>
      <c r="J5" s="64">
        <f t="shared" si="1"/>
        <v>52050.620441105581</v>
      </c>
      <c r="K5" s="64">
        <f t="shared" ref="K5:L5" si="2">SUM(K3:K4)</f>
        <v>9552.3607253716709</v>
      </c>
      <c r="L5" s="64">
        <f t="shared" si="2"/>
        <v>15934.235649367734</v>
      </c>
      <c r="M5" s="64">
        <f t="shared" ref="M5" si="3">SUM(M3:M4)</f>
        <v>20012.66210202012</v>
      </c>
    </row>
    <row r="6" spans="1:13" x14ac:dyDescent="0.2">
      <c r="B6" s="49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x14ac:dyDescent="0.2"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x14ac:dyDescent="0.2">
      <c r="B8" s="49" t="s">
        <v>116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 x14ac:dyDescent="0.2">
      <c r="B9" s="50" t="s">
        <v>117</v>
      </c>
      <c r="C9" s="63">
        <f>30571*('2023 IR Data Book'!$A$5)</f>
        <v>8324.0755867777589</v>
      </c>
      <c r="D9" s="63">
        <f>61677*('2023 IR Data Book'!$A$5)</f>
        <v>16793.824538474106</v>
      </c>
      <c r="E9" s="63">
        <f>85002*('2023 IR Data Book'!$A$5)</f>
        <v>23144.910962261067</v>
      </c>
      <c r="F9" s="63">
        <f>111307*('2023 IR Data Book'!$A$5)</f>
        <v>30307.411642977724</v>
      </c>
      <c r="G9" s="63">
        <f>27620*('2023 IR Data Book'!$A$5)</f>
        <v>7520.5576430866413</v>
      </c>
      <c r="H9" s="63">
        <f>55985*('2023 IR Data Book'!$A$5)</f>
        <v>15243.968850405707</v>
      </c>
      <c r="I9" s="63">
        <f>84910.4747890224*(('2023 IR Data Book'!$A$5))</f>
        <v>23119.989867947064</v>
      </c>
      <c r="J9" s="63">
        <f>116718.385997847*(('2023 IR Data Book'!$A$5))</f>
        <v>31780.859880696778</v>
      </c>
      <c r="K9" s="63">
        <f>27880*(('2023 IR Data Book'!$A$5))</f>
        <v>7591.3521755704405</v>
      </c>
      <c r="L9" s="63">
        <f>56012.0422289981*((('2023 IR Data Book'!$A$5)))</f>
        <v>15251.332088710476</v>
      </c>
      <c r="M9" s="63">
        <f>84328.5400628878*((('2023 IR Data Book'!$A$5)))</f>
        <v>22961.536803051731</v>
      </c>
    </row>
    <row r="10" spans="1:13" x14ac:dyDescent="0.2">
      <c r="B10" s="50" t="s">
        <v>118</v>
      </c>
      <c r="C10" s="63">
        <f>64487*('2023 IR Data Book'!$A$5)</f>
        <v>17558.950062625932</v>
      </c>
      <c r="D10" s="63">
        <f>131046*('2023 IR Data Book'!$A$5)</f>
        <v>35682.078091815063</v>
      </c>
      <c r="E10" s="63">
        <f>191720*('2023 IR Data Book'!$A$5)</f>
        <v>52202.799106899743</v>
      </c>
      <c r="F10" s="63">
        <f>254551*('2023 IR Data Book'!$A$5)</f>
        <v>69310.842454936559</v>
      </c>
      <c r="G10" s="63">
        <f>66011*('2023 IR Data Book'!$A$5)</f>
        <v>17973.914937646354</v>
      </c>
      <c r="H10" s="63">
        <f>129606*('2023 IR Data Book'!$A$5)</f>
        <v>35289.985296520172</v>
      </c>
      <c r="I10" s="63">
        <f>190683.705115401*(('2023 IR Data Book'!$A$5))</f>
        <v>51920.629830474594</v>
      </c>
      <c r="J10" s="63">
        <f>248907.680572888*(('2023 IR Data Book'!$A$5))</f>
        <v>67774.241837632188</v>
      </c>
      <c r="K10" s="63">
        <f>59381*(('2023 IR Data Book'!$A$5))</f>
        <v>16168.654359309479</v>
      </c>
      <c r="L10" s="63">
        <f>118906.009556178*((('2023 IR Data Book'!$A$5)))</f>
        <v>32376.520600168271</v>
      </c>
      <c r="M10" s="63">
        <f>176832.429751309*((('2023 IR Data Book'!$A$5)))</f>
        <v>48149.112277762077</v>
      </c>
    </row>
    <row r="11" spans="1:13" x14ac:dyDescent="0.2">
      <c r="B11" s="50" t="s">
        <v>119</v>
      </c>
      <c r="C11" s="63">
        <f>2222*('2023 IR Data Book'!$A$5)</f>
        <v>605.02096607308169</v>
      </c>
      <c r="D11" s="63">
        <f>4442*('2023 IR Data Book'!$A$5)</f>
        <v>1209.497358819365</v>
      </c>
      <c r="E11" s="63">
        <f>4371*('2023 IR Data Book'!$A$5)</f>
        <v>1190.1650057180198</v>
      </c>
      <c r="F11" s="63">
        <f>5064*('2023 IR Data Book'!$A$5)</f>
        <v>1378.8596634536839</v>
      </c>
      <c r="G11" s="63">
        <f>692*('2023 IR Data Book'!$A$5)</f>
        <v>188.42237107226487</v>
      </c>
      <c r="H11" s="63">
        <f>1383*('2023 IR Data Book'!$A$5)</f>
        <v>376.57245548113053</v>
      </c>
      <c r="I11" s="63">
        <f>2071.70134298803*(('2023 IR Data Book'!$A$5))</f>
        <v>564.09664624190759</v>
      </c>
      <c r="J11" s="63">
        <f>5008.2679770988*(('2023 IR Data Book'!$A$5))</f>
        <v>1363.6845768934268</v>
      </c>
      <c r="K11" s="63">
        <f>3398*(('2023 IR Data Book'!$A$5))</f>
        <v>925.23008223057229</v>
      </c>
      <c r="L11" s="63">
        <f>6784.06975706258*((('2023 IR Data Book'!$A$5)))</f>
        <v>1847.2117184181723</v>
      </c>
      <c r="M11" s="63">
        <f>10170.6403916565*((('2023 IR Data Book'!$A$5)))</f>
        <v>2769.3297368775525</v>
      </c>
    </row>
    <row r="12" spans="1:13" x14ac:dyDescent="0.2">
      <c r="B12" s="50" t="s">
        <v>120</v>
      </c>
      <c r="C12" s="63">
        <f>8206*('2023 IR Data Book'!$A$5)</f>
        <v>2234.3843598540543</v>
      </c>
      <c r="D12" s="63">
        <f>22690*('2023 IR Data Book'!$A$5)</f>
        <v>6178.1843925284538</v>
      </c>
      <c r="E12" s="63">
        <f>26981*('2023 IR Data Book'!$A$5)</f>
        <v>7346.5664651745356</v>
      </c>
      <c r="F12" s="63">
        <f>33813*('2023 IR Data Book'!$A$5)</f>
        <v>9206.8289495180525</v>
      </c>
      <c r="G12" s="63">
        <f>6035*('2023 IR Data Book'!$A$5)</f>
        <v>1643.2500136143331</v>
      </c>
      <c r="H12" s="63">
        <f>17071*('2023 IR Data Book'!$A$5)</f>
        <v>4648.2056308881993</v>
      </c>
      <c r="I12" s="63">
        <f>25399.0220645702*(('2023 IR Data Book'!$A$5))</f>
        <v>6915.814971565158</v>
      </c>
      <c r="J12" s="63">
        <f>35066.073473054*(('2023 IR Data Book'!$A$5))</f>
        <v>9548.0241444900057</v>
      </c>
      <c r="K12" s="63">
        <f>6861*(('2023 IR Data Book'!$A$5))</f>
        <v>1868.1587975820944</v>
      </c>
      <c r="L12" s="63">
        <f>14902.9169305832*((('2023 IR Data Book'!$A$5)))</f>
        <v>4057.8655259443444</v>
      </c>
      <c r="M12" s="63">
        <f>25008.3429843385*((('2023 IR Data Book'!$A$5)))</f>
        <v>6809.4382683489894</v>
      </c>
    </row>
    <row r="13" spans="1:13" x14ac:dyDescent="0.2">
      <c r="B13" s="50" t="s">
        <v>121</v>
      </c>
      <c r="C13" s="63">
        <f>3787*('2023 IR Data Book'!$A$5)</f>
        <v>1031.1495942928714</v>
      </c>
      <c r="D13" s="63">
        <f>13626*('2023 IR Data Book'!$A$5)</f>
        <v>3710.1780754778629</v>
      </c>
      <c r="E13" s="63">
        <f>17804*('2023 IR Data Book'!$A$5)</f>
        <v>4847.7917551598321</v>
      </c>
      <c r="F13" s="63">
        <f>15760*('2023 IR Data Book'!$A$5)</f>
        <v>4291.2378151718131</v>
      </c>
      <c r="G13" s="63">
        <f>4942*('2023 IR Data Book'!$A$5)</f>
        <v>1345.6406905189783</v>
      </c>
      <c r="H13" s="63">
        <f>9760*('2023 IR Data Book'!$A$5)</f>
        <v>2657.5178347764527</v>
      </c>
      <c r="I13" s="63">
        <f>13128.1258975919*(('2023 IR Data Book'!$A$5))</f>
        <v>3574.6135973402766</v>
      </c>
      <c r="J13" s="63">
        <f>15493.0549690409*(('2023 IR Data Book'!$A$5))</f>
        <v>4218.5522433809565</v>
      </c>
      <c r="K13" s="63">
        <f>13019*(('2023 IR Data Book'!$A$5))</f>
        <v>3544.9000707945324</v>
      </c>
      <c r="L13" s="63">
        <f>13725.9425735088*((('2023 IR Data Book'!$A$5)))</f>
        <v>3737.391105350106</v>
      </c>
      <c r="M13" s="63">
        <f>16152.9508360513*((('2023 IR Data Book'!$A$5)))</f>
        <v>4398.2330872001576</v>
      </c>
    </row>
    <row r="14" spans="1:13" x14ac:dyDescent="0.2">
      <c r="B14" s="50" t="s">
        <v>122</v>
      </c>
      <c r="C14" s="63">
        <f>1295*('2023 IR Data Book'!$A$5)</f>
        <v>352.61122910199856</v>
      </c>
      <c r="D14" s="63">
        <f>3502*('2023 IR Data Book'!$A$5)</f>
        <v>953.54789522409192</v>
      </c>
      <c r="E14" s="63">
        <f>(10624-5047)*('2023 IR Data Book'!$A$5)</f>
        <v>1518.5427217774873</v>
      </c>
      <c r="F14" s="63">
        <f>6906*('2023 IR Data Book'!$A$5)</f>
        <v>1880.4116974350595</v>
      </c>
      <c r="G14" s="63">
        <f>1523*('2023 IR Data Book'!$A$5)</f>
        <v>414.69258835702226</v>
      </c>
      <c r="H14" s="63">
        <f>3532*('2023 IR Data Book'!$A$5)</f>
        <v>961.71649512606871</v>
      </c>
      <c r="I14" s="63">
        <f>7151.95334604811*(('2023 IR Data Book'!$A$5))</f>
        <v>1947.3815133823748</v>
      </c>
      <c r="J14" s="63">
        <f>21497.4551751129*(('2023 IR Data Book'!$A$5))</f>
        <v>5853.4703412059298</v>
      </c>
      <c r="K14" s="63">
        <f>(18787-2436)*(('2023 IR Data Book'!$A$5))</f>
        <v>4452.1592332407554</v>
      </c>
      <c r="L14" s="63">
        <f>34561.6140347325*((('2023 IR Data Book'!$A$5)))</f>
        <v>9410.6665672091967</v>
      </c>
      <c r="M14" s="63">
        <f>53425.8228579785*((('2023 IR Data Book'!$A$5)))</f>
        <v>14547.139045357102</v>
      </c>
    </row>
    <row r="15" spans="1:13" x14ac:dyDescent="0.2">
      <c r="B15" s="50" t="s">
        <v>123</v>
      </c>
      <c r="C15" s="63">
        <f>12450*('2023 IR Data Book'!$A$5)</f>
        <v>3389.9689593203725</v>
      </c>
      <c r="D15" s="63">
        <f>24823*('2023 IR Data Book'!$A$5)</f>
        <v>6758.9718455590046</v>
      </c>
      <c r="E15" s="63">
        <f>35784*('2023 IR Data Book'!$A$5)</f>
        <v>9743.5059630779288</v>
      </c>
      <c r="F15" s="63">
        <f>47106*('2023 IR Data Book'!$A$5)</f>
        <v>12826.335566083973</v>
      </c>
      <c r="G15" s="63">
        <f>10353*('2023 IR Data Book'!$A$5)</f>
        <v>2818.9838261721939</v>
      </c>
      <c r="H15" s="63">
        <f>22724*('2023 IR Data Book'!$A$5)</f>
        <v>6187.4421390840271</v>
      </c>
      <c r="I15" s="63">
        <f>34714.0856193912*(('2023 IR Data Book'!$A$5))</f>
        <v>9452.1825462591059</v>
      </c>
      <c r="J15" s="63">
        <f>46504.5748904509*(('2023 IR Data Book'!$A$5))</f>
        <v>12662.575529720334</v>
      </c>
      <c r="K15" s="63">
        <f>11734*(('2023 IR Data Book'!$A$5))</f>
        <v>3195.0117083265259</v>
      </c>
      <c r="L15" s="63">
        <f>24305.8386138711*((('2023 IR Data Book'!$A$5)))</f>
        <v>6618.1556972910466</v>
      </c>
      <c r="M15" s="63">
        <f>36677.4558981637*((('2023 IR Data Book'!$A$5)))</f>
        <v>9986.7820884832818</v>
      </c>
    </row>
    <row r="16" spans="1:13" x14ac:dyDescent="0.2">
      <c r="B16" s="50" t="s">
        <v>124</v>
      </c>
      <c r="C16" s="63">
        <f>-2685*('2023 IR Data Book'!$A$5)</f>
        <v>-731.08969122692372</v>
      </c>
      <c r="D16" s="63">
        <f>-7293*('2023 IR Data Book'!$A$5)</f>
        <v>-1985.7866361705603</v>
      </c>
      <c r="E16" s="63">
        <f>-9205*('2023 IR Data Book'!$A$5)</f>
        <v>-2506.3987365898815</v>
      </c>
      <c r="F16" s="63">
        <f>-10232*('2023 IR Data Book'!$A$5)</f>
        <v>-2786.0371399008877</v>
      </c>
      <c r="G16" s="63">
        <f>-3556*('2023 IR Data Book'!$A$5)</f>
        <v>-968.25137504765007</v>
      </c>
      <c r="H16" s="63">
        <f>-7720*('2023 IR Data Book'!$A$5)</f>
        <v>-2102.05304144203</v>
      </c>
      <c r="I16" s="63">
        <f>-8664.694177561*(('2023 IR Data Book'!$A$5))</f>
        <v>-2359.280666982791</v>
      </c>
      <c r="J16" s="63">
        <f>-9203.47263576387*(('2023 IR Data Book'!$A$5))</f>
        <v>-2505.9828556782304</v>
      </c>
      <c r="K16" s="63">
        <f>-490*(('2023 IR Data Book'!$A$5))</f>
        <v>-133.42046506562107</v>
      </c>
      <c r="L16" s="63">
        <f>-2456.91341653989*((('2023 IR Data Book'!$A$5)))</f>
        <v>-668.98475645044107</v>
      </c>
      <c r="M16" s="63">
        <f>-4287.90446261206*((('2023 IR Data Book'!$A$5)))</f>
        <v>-1167.5391990992921</v>
      </c>
    </row>
    <row r="17" spans="2:13" x14ac:dyDescent="0.2">
      <c r="B17" s="50" t="s">
        <v>125</v>
      </c>
      <c r="C17" s="63">
        <f>0*('2023 IR Data Book'!$A$5)</f>
        <v>0</v>
      </c>
      <c r="D17" s="63">
        <f>0*('2023 IR Data Book'!$A$5)</f>
        <v>0</v>
      </c>
      <c r="E17" s="63">
        <f>0*('2023 IR Data Book'!$A$5)</f>
        <v>0</v>
      </c>
      <c r="F17" s="63">
        <f>2975*('2023 IR Data Book'!$A$5)</f>
        <v>810.0528236126994</v>
      </c>
      <c r="G17" s="63">
        <f>0*('2023 IR Data Book'!$A$5)</f>
        <v>0</v>
      </c>
      <c r="H17" s="63">
        <f>0*('2023 IR Data Book'!$A$5)</f>
        <v>0</v>
      </c>
      <c r="I17" s="63">
        <f>0*(('2023 IR Data Book'!$A$5))</f>
        <v>0</v>
      </c>
      <c r="J17" s="63">
        <f>0*(('2023 IR Data Book'!$A$5))</f>
        <v>0</v>
      </c>
      <c r="K17" s="63">
        <f>0*(('2023 IR Data Book'!$A$5))</f>
        <v>0</v>
      </c>
      <c r="L17" s="63">
        <f>0*((('2023 IR Data Book'!$A$5)))</f>
        <v>0</v>
      </c>
      <c r="M17" s="63">
        <f>0*((('2023 IR Data Book'!$A$5)))</f>
        <v>0</v>
      </c>
    </row>
    <row r="18" spans="2:13" x14ac:dyDescent="0.2">
      <c r="B18" s="50" t="s">
        <v>126</v>
      </c>
      <c r="C18" s="63">
        <f>-1616*('2023 IR Data Book'!$A$5)</f>
        <v>-440.01524805315034</v>
      </c>
      <c r="D18" s="63">
        <f>-1824*('2023 IR Data Book'!$A$5)</f>
        <v>-496.65087404018948</v>
      </c>
      <c r="E18" s="63">
        <f>-1618*('2023 IR Data Book'!$A$5)</f>
        <v>-440.5598213799488</v>
      </c>
      <c r="F18" s="63">
        <f>-413*('2023 IR Data Book'!$A$5)</f>
        <v>-112.45439198388063</v>
      </c>
      <c r="G18" s="63">
        <f>4901*('2023 IR Data Book'!$A$5)</f>
        <v>1334.47693731961</v>
      </c>
      <c r="H18" s="63">
        <f>10897*('2023 IR Data Book'!$A$5)</f>
        <v>2967.1077710613731</v>
      </c>
      <c r="I18" s="63">
        <f>10570.1545938648*(('2023 IR Data Book'!$A$5))</f>
        <v>2878.1121259774545</v>
      </c>
      <c r="J18" s="63">
        <f>12143.5755278846*(('2023 IR Data Book'!$A$5))</f>
        <v>3306.5336622242007</v>
      </c>
      <c r="K18" s="63">
        <f>171*(('2023 IR Data Book'!$A$5))</f>
        <v>46.561019441267767</v>
      </c>
      <c r="L18" s="63">
        <f>101.235001725067*((('2023 IR Data Book'!$A$5)))</f>
        <v>27.564940838933449</v>
      </c>
      <c r="M18" s="63">
        <f>388.121893335175*((('2023 IR Data Book'!$A$5)))</f>
        <v>105.68041532842535</v>
      </c>
    </row>
    <row r="19" spans="2:13" x14ac:dyDescent="0.2">
      <c r="B19" s="50" t="s">
        <v>127</v>
      </c>
      <c r="C19" s="63">
        <f>0*('2023 IR Data Book'!$A$5)</f>
        <v>0</v>
      </c>
      <c r="D19" s="63">
        <f>0*('2023 IR Data Book'!$A$5)</f>
        <v>0</v>
      </c>
      <c r="E19" s="63">
        <f>-31608*('2023 IR Data Book'!$A$5)</f>
        <v>-8606.4368567227575</v>
      </c>
      <c r="F19" s="63">
        <f>-31608*('2023 IR Data Book'!$A$5)</f>
        <v>-8606.4368567227575</v>
      </c>
      <c r="G19" s="63">
        <f>-800*('2023 IR Data Book'!$A$5)</f>
        <v>-217.82933071938135</v>
      </c>
      <c r="H19" s="63">
        <f>-800*('2023 IR Data Book'!$A$5)</f>
        <v>-217.82933071938135</v>
      </c>
      <c r="I19" s="63">
        <f>-2320.954659*(('2023 IR Data Book'!$A$5))</f>
        <v>-631.96499999999992</v>
      </c>
      <c r="J19" s="63">
        <f>-3514.549659*(('2023 IR Data Book'!$A$5))</f>
        <v>-956.96499999999992</v>
      </c>
      <c r="K19" s="63">
        <f>0*(('2023 IR Data Book'!$A$5))</f>
        <v>0</v>
      </c>
      <c r="L19" s="63">
        <f>0*((('2023 IR Data Book'!$A$5)))</f>
        <v>0</v>
      </c>
      <c r="M19" s="63">
        <f>0*((('2023 IR Data Book'!$A$5)))</f>
        <v>0</v>
      </c>
    </row>
    <row r="20" spans="2:13" x14ac:dyDescent="0.2">
      <c r="B20" s="50" t="s">
        <v>128</v>
      </c>
      <c r="C20" s="205">
        <f>0*('2023 IR Data Book'!$A$5)</f>
        <v>0</v>
      </c>
      <c r="D20" s="205">
        <f>0*('2023 IR Data Book'!$A$5)</f>
        <v>0</v>
      </c>
      <c r="E20" s="205">
        <f>0*('2023 IR Data Book'!$A$5)</f>
        <v>0</v>
      </c>
      <c r="F20" s="205">
        <f>-20812*('2023 IR Data Book'!$A$5)</f>
        <v>-5666.8300386647061</v>
      </c>
      <c r="G20" s="205">
        <f>0*('2023 IR Data Book'!$A$5)</f>
        <v>0</v>
      </c>
      <c r="H20" s="205">
        <f>0*('2023 IR Data Book'!$A$5)</f>
        <v>0</v>
      </c>
      <c r="I20" s="205">
        <f>-648*(('2023 IR Data Book'!$A$5))</f>
        <v>-176.44175788269891</v>
      </c>
      <c r="J20" s="205">
        <f>-1290.9115548*(('2023 IR Data Book'!$A$5))</f>
        <v>-351.49799999999999</v>
      </c>
      <c r="K20" s="205">
        <f>0*(('2023 IR Data Book'!$A$5))</f>
        <v>0</v>
      </c>
      <c r="L20" s="205">
        <f>0*((('2023 IR Data Book'!$A$5)))</f>
        <v>0</v>
      </c>
      <c r="M20" s="205">
        <f>0*((('2023 IR Data Book'!$A$5)))</f>
        <v>0</v>
      </c>
    </row>
    <row r="21" spans="2:13" x14ac:dyDescent="0.2">
      <c r="B21" s="50" t="s">
        <v>288</v>
      </c>
      <c r="C21" s="205"/>
      <c r="D21" s="205"/>
      <c r="E21" s="205"/>
      <c r="F21" s="205"/>
      <c r="G21" s="205"/>
      <c r="H21" s="205"/>
      <c r="I21" s="205"/>
      <c r="J21" s="205"/>
      <c r="K21" s="205">
        <f>-65*(('2023 IR Data Book'!$A$5))</f>
        <v>-17.698633120949737</v>
      </c>
      <c r="L21" s="205">
        <f>-676.2578736*((('2023 IR Data Book'!$A$5)))</f>
        <v>-184.136</v>
      </c>
      <c r="M21" s="205">
        <f>-939.873429*((('2023 IR Data Book'!$A$5)))</f>
        <v>-255.91499999999999</v>
      </c>
    </row>
    <row r="22" spans="2:13" ht="15" x14ac:dyDescent="0.2">
      <c r="B22" s="50"/>
      <c r="C22" s="64">
        <f t="shared" ref="C22:H22" si="4">SUM(C5:C20)</f>
        <v>53012.579643849051</v>
      </c>
      <c r="D22" s="64">
        <f t="shared" si="4"/>
        <v>115749.33289767466</v>
      </c>
      <c r="E22" s="64">
        <f t="shared" si="4"/>
        <v>160691.88041169744</v>
      </c>
      <c r="F22" s="64">
        <f t="shared" si="4"/>
        <v>197730.49066056736</v>
      </c>
      <c r="G22" s="64">
        <f t="shared" si="4"/>
        <v>50445.454063483448</v>
      </c>
      <c r="H22" s="64">
        <f t="shared" si="4"/>
        <v>98934.542286118813</v>
      </c>
      <c r="I22" s="64">
        <f t="shared" ref="I22:J22" si="5">SUM(I5:I20)</f>
        <v>140772.83947364995</v>
      </c>
      <c r="J22" s="64">
        <f t="shared" si="5"/>
        <v>184744.11680167116</v>
      </c>
      <c r="K22" s="64">
        <f>SUM(K5:K21)</f>
        <v>47193.269073680764</v>
      </c>
      <c r="L22" s="64">
        <f>SUM(L5:L21)</f>
        <v>88407.82313684783</v>
      </c>
      <c r="M22" s="64">
        <f>SUM(M5:M21)</f>
        <v>128316.45962533017</v>
      </c>
    </row>
    <row r="23" spans="2:13" x14ac:dyDescent="0.2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2:13" x14ac:dyDescent="0.2">
      <c r="B24" s="49" t="s">
        <v>129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2:13" x14ac:dyDescent="0.2">
      <c r="B25" s="50" t="s">
        <v>130</v>
      </c>
      <c r="C25" s="63">
        <f>16527*('2023 IR Data Book'!$A$5)</f>
        <v>4500.0816859990191</v>
      </c>
      <c r="D25" s="63">
        <f>-60869*('2023 IR Data Book'!$A$5)</f>
        <v>-16573.816914447529</v>
      </c>
      <c r="E25" s="63">
        <f>-31519*('2023 IR Data Book'!$A$5)</f>
        <v>-8582.2033436802267</v>
      </c>
      <c r="F25" s="63">
        <f>-174292*('2023 IR Data Book'!$A$5)</f>
        <v>-47457.387137178019</v>
      </c>
      <c r="G25" s="63">
        <f>50503*('2023 IR Data Book'!$A$5)</f>
        <v>13751.293361651145</v>
      </c>
      <c r="H25" s="63">
        <f>65762*('2023 IR Data Book'!$A$5)</f>
        <v>17906.115558459947</v>
      </c>
      <c r="I25" s="63">
        <f>111542.267356377*(('2023 IR Data Book'!$A$5))</f>
        <v>30371.471806452373</v>
      </c>
      <c r="J25" s="63">
        <f>80056.9094076042*(('2023 IR Data Book'!$A$5))</f>
        <v>21798.428744650708</v>
      </c>
      <c r="K25" s="63">
        <f>3774*(('2023 IR Data Book'!$A$5))</f>
        <v>1027.6098676686815</v>
      </c>
      <c r="L25" s="63">
        <f>31618.0038329862*((('2023 IR Data Book'!$A$5)))</f>
        <v>8609.1607670277735</v>
      </c>
      <c r="M25" s="63">
        <f>134263.660749654*((('2023 IR Data Book'!$A$5)))</f>
        <v>36558.204201289002</v>
      </c>
    </row>
    <row r="26" spans="2:13" x14ac:dyDescent="0.2">
      <c r="B26" s="50" t="s">
        <v>131</v>
      </c>
      <c r="C26" s="63">
        <f>-24343*('2023 IR Data Book'!$A$5)</f>
        <v>-6628.274247127375</v>
      </c>
      <c r="D26" s="63">
        <f>-5662*('2023 IR Data Book'!$A$5)</f>
        <v>-1541.6870881664215</v>
      </c>
      <c r="E26" s="63">
        <f>-31622*('2023 IR Data Book'!$A$5)</f>
        <v>-8610.2488700103459</v>
      </c>
      <c r="F26" s="63">
        <f>16676*('2023 IR Data Book'!$A$5)</f>
        <v>4540.6523988455046</v>
      </c>
      <c r="G26" s="63">
        <f>-32385.840330583*('2023 IR Data Book'!$A$5)</f>
        <v>-8818.2324049945546</v>
      </c>
      <c r="H26" s="63">
        <f>-76633*('2023 IR Data Book'!$A$5)</f>
        <v>-20866.143876272938</v>
      </c>
      <c r="I26" s="63">
        <f>-98661.5622864977*(('2023 IR Data Book'!$A$5))</f>
        <v>-26864.227600745438</v>
      </c>
      <c r="J26" s="63">
        <f>-26068.052600806*(('2023 IR Data Book'!$A$5))</f>
        <v>-7097.9830639889997</v>
      </c>
      <c r="K26" s="63">
        <f>-12651*(('2023 IR Data Book'!$A$5))</f>
        <v>-3444.6985786636169</v>
      </c>
      <c r="L26" s="63">
        <f>-15016.363902908*((('2023 IR Data Book'!$A$5)))</f>
        <v>-4088.7556235114089</v>
      </c>
      <c r="M26" s="63">
        <f>-19129.8653756114*((('2023 IR Data Book'!$A$5)))</f>
        <v>-5208.8072144016223</v>
      </c>
    </row>
    <row r="27" spans="2:13" x14ac:dyDescent="0.2">
      <c r="B27" s="50" t="s">
        <v>132</v>
      </c>
      <c r="C27" s="63">
        <f>-26200*('2023 IR Data Book'!$A$5)</f>
        <v>-7133.9105810597393</v>
      </c>
      <c r="D27" s="63">
        <f>-40096*('2023 IR Data Book'!$A$5)</f>
        <v>-10917.606055655393</v>
      </c>
      <c r="E27" s="63">
        <f>-34567*('2023 IR Data Book'!$A$5)</f>
        <v>-9412.1330937210696</v>
      </c>
      <c r="F27" s="63">
        <f>25240*('2023 IR Data Book'!$A$5)</f>
        <v>6872.515384196482</v>
      </c>
      <c r="G27" s="63">
        <f>-16854*('2023 IR Data Book'!$A$5)</f>
        <v>-4589.1194249305663</v>
      </c>
      <c r="H27" s="63">
        <f>-18635*('2023 IR Data Book'!$A$5)</f>
        <v>-5074.0619724445896</v>
      </c>
      <c r="I27" s="63">
        <f>12662.3772294495*(('2023 IR Data Book'!$A$5))</f>
        <v>3447.7964465091486</v>
      </c>
      <c r="J27" s="63">
        <f>17705.3256248682*(('2023 IR Data Book'!$A$5))</f>
        <v>4820.9240387921909</v>
      </c>
      <c r="K27" s="63">
        <f>-22887*(('2023 IR Data Book'!$A$5))</f>
        <v>-6231.824865218101</v>
      </c>
      <c r="L27" s="63">
        <f>-30546.4333182499*((('2023 IR Data Book'!$A$5)))</f>
        <v>-8317.3864069732335</v>
      </c>
      <c r="M27" s="63">
        <f>-22600.196560927*((('2023 IR Data Book'!$A$5)))</f>
        <v>-6153.732113741491</v>
      </c>
    </row>
    <row r="28" spans="2:13" x14ac:dyDescent="0.2">
      <c r="B28" s="50" t="s">
        <v>133</v>
      </c>
      <c r="C28" s="63">
        <f>-121872*('2023 IR Data Book'!$A$5)</f>
        <v>-33184.120241790559</v>
      </c>
      <c r="D28" s="63">
        <f>-88003*('2023 IR Data Book'!$A$5)</f>
        <v>-23962.043239122147</v>
      </c>
      <c r="E28" s="63">
        <f>-120889*('2023 IR Data Book'!$A$5)</f>
        <v>-32916.462451669118</v>
      </c>
      <c r="F28" s="63">
        <f>-166484*('2023 IR Data Book'!$A$5)</f>
        <v>-45331.372869356856</v>
      </c>
      <c r="G28" s="63">
        <f>-49724*('2023 IR Data Book'!$A$5)</f>
        <v>-13539.182050863148</v>
      </c>
      <c r="H28" s="63">
        <f>-41966*('2023 IR Data Book'!$A$5)</f>
        <v>-11426.782116211947</v>
      </c>
      <c r="I28" s="63">
        <f>-119567.233277775*(('2023 IR Data Book'!$A$5))</f>
        <v>-32556.563001082337</v>
      </c>
      <c r="J28" s="63">
        <f>-114680.169806729*(('2023 IR Data Book'!$A$5))</f>
        <v>-31225.88079473098</v>
      </c>
      <c r="K28" s="63">
        <f>-(3700+10772)*(('2023 IR Data Book'!$A$5))</f>
        <v>-3940.5325927136087</v>
      </c>
      <c r="L28" s="63">
        <f>-81043.2219393493*((('2023 IR Data Book'!$A$5)))</f>
        <v>-22066.988492988428</v>
      </c>
      <c r="M28" s="63">
        <f>-123087.636945915*((('2023 IR Data Book'!$A$5)))</f>
        <v>-33515.121969698579</v>
      </c>
    </row>
    <row r="29" spans="2:13" x14ac:dyDescent="0.2">
      <c r="B29" s="50" t="s">
        <v>289</v>
      </c>
      <c r="C29" s="63"/>
      <c r="D29" s="63"/>
      <c r="E29" s="63"/>
      <c r="F29" s="63"/>
      <c r="G29" s="63"/>
      <c r="H29" s="63"/>
      <c r="I29" s="63"/>
      <c r="J29" s="205"/>
      <c r="K29" s="205">
        <f>-1619*(('2023 IR Data Book'!$A$5))</f>
        <v>-440.832108043348</v>
      </c>
      <c r="L29" s="205">
        <f>-2449.39380892485*((('2023 IR Data Book'!$A$5)))</f>
        <v>-666.93726758287039</v>
      </c>
      <c r="M29" s="205">
        <f>-3156.95242264787*((('2023 IR Data Book'!$A$5)))</f>
        <v>-859.59604167289388</v>
      </c>
    </row>
    <row r="30" spans="2:13" x14ac:dyDescent="0.2">
      <c r="B30" s="50" t="s">
        <v>134</v>
      </c>
      <c r="C30" s="66">
        <f>0*('2023 IR Data Book'!$A$5)</f>
        <v>0</v>
      </c>
      <c r="D30" s="66">
        <f>0*('2023 IR Data Book'!$A$5)</f>
        <v>0</v>
      </c>
      <c r="E30" s="66">
        <f>18964*('2023 IR Data Book'!$A$5)</f>
        <v>5163.6442847029348</v>
      </c>
      <c r="F30" s="66">
        <f>18305*('2023 IR Data Book'!$A$5)</f>
        <v>4984.2073735228441</v>
      </c>
      <c r="G30" s="66">
        <f>0*('2023 IR Data Book'!$A$5)</f>
        <v>0</v>
      </c>
      <c r="H30" s="66">
        <f>0*('2023 IR Data Book'!$A$5)</f>
        <v>0</v>
      </c>
      <c r="I30" s="66">
        <f>-4434.73416298412*(('2023 IR Data Book'!$A$5))</f>
        <v>-1207.5189683015085</v>
      </c>
      <c r="J30" s="66">
        <f>10903.4345321512*(('2023 IR Data Book'!$A$5))</f>
        <v>2968.8598083513584</v>
      </c>
      <c r="K30" s="66">
        <f>0*(('2023 IR Data Book'!$A$5))</f>
        <v>0</v>
      </c>
      <c r="L30" s="66"/>
      <c r="M30" s="66"/>
    </row>
    <row r="31" spans="2:13" x14ac:dyDescent="0.2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2:13" ht="25.5" x14ac:dyDescent="0.2">
      <c r="B32" s="51" t="s">
        <v>135</v>
      </c>
      <c r="C32" s="68">
        <f t="shared" ref="C32:H32" si="6">C22+SUM(C25:C30)</f>
        <v>10566.356259870401</v>
      </c>
      <c r="D32" s="68">
        <f t="shared" si="6"/>
        <v>62754.179600283169</v>
      </c>
      <c r="E32" s="68">
        <f t="shared" si="6"/>
        <v>106334.47693731962</v>
      </c>
      <c r="F32" s="68">
        <f t="shared" si="6"/>
        <v>121339.10581059732</v>
      </c>
      <c r="G32" s="68">
        <f t="shared" si="6"/>
        <v>37250.213544346327</v>
      </c>
      <c r="H32" s="68">
        <f t="shared" si="6"/>
        <v>79473.669879649286</v>
      </c>
      <c r="I32" s="68">
        <f t="shared" ref="I32:J32" si="7">I22+SUM(I25:I30)</f>
        <v>113963.79815648218</v>
      </c>
      <c r="J32" s="68">
        <f t="shared" si="7"/>
        <v>176008.46553474542</v>
      </c>
      <c r="K32" s="68">
        <f t="shared" ref="K32:L32" si="8">K22+SUM(K25:K30)</f>
        <v>34162.990796710772</v>
      </c>
      <c r="L32" s="68">
        <f t="shared" si="8"/>
        <v>61876.916112819657</v>
      </c>
      <c r="M32" s="68">
        <f t="shared" ref="M32" si="9">M22+SUM(M25:M30)</f>
        <v>119137.40648710458</v>
      </c>
    </row>
    <row r="33" spans="2:13" x14ac:dyDescent="0.2">
      <c r="C33" s="63"/>
      <c r="D33" s="63"/>
      <c r="E33" s="63"/>
      <c r="F33" s="63"/>
      <c r="G33" s="63"/>
      <c r="H33" s="63"/>
      <c r="I33" s="63"/>
      <c r="J33" s="63"/>
      <c r="K33" s="63"/>
      <c r="L33" s="63">
        <f>0*((('2023 IR Data Book'!$A$5)))</f>
        <v>0</v>
      </c>
      <c r="M33" s="63">
        <f>0*((('2023 IR Data Book'!$A$5)))</f>
        <v>0</v>
      </c>
    </row>
    <row r="34" spans="2:13" x14ac:dyDescent="0.2">
      <c r="B34" s="50" t="s">
        <v>136</v>
      </c>
      <c r="C34" s="65">
        <f>-4565*('2023 IR Data Book'!$A$5)</f>
        <v>-1242.9886184174698</v>
      </c>
      <c r="D34" s="65">
        <f>-19262*('2023 IR Data Book'!$A$5)</f>
        <v>-5244.785710395905</v>
      </c>
      <c r="E34" s="65">
        <f>-24728*('2023 IR Data Book'!$A$5)</f>
        <v>-6733.1046125360772</v>
      </c>
      <c r="F34" s="65">
        <f>-31732*('2023 IR Data Book'!$A$5)</f>
        <v>-8640.200402984261</v>
      </c>
      <c r="G34" s="65">
        <f>-6375*('2023 IR Data Book'!$A$5)</f>
        <v>-1735.8274791700701</v>
      </c>
      <c r="H34" s="65">
        <f>-12681*('2023 IR Data Book'!$A$5)</f>
        <v>-3452.8671785655938</v>
      </c>
      <c r="I34" s="65">
        <f>-18048.7065671711*(('2023 IR Data Book'!$A$5))</f>
        <v>-4914.4220898467292</v>
      </c>
      <c r="J34" s="65">
        <f>-20416.8205054182*(('2023 IR Data Book'!$A$5))</f>
        <v>-5559.2279326412345</v>
      </c>
      <c r="K34" s="65">
        <f>-6805*(('2023 IR Data Book'!$A$5))</f>
        <v>-1852.9107444317376</v>
      </c>
      <c r="L34" s="65">
        <f>-11805.1423609359*((('2023 IR Data Book'!$A$5)))</f>
        <v>-3214.3828244121059</v>
      </c>
      <c r="M34" s="65">
        <f>-17402.4891376351*((('2023 IR Data Book'!$A$5)))</f>
        <v>-4738.4657021279472</v>
      </c>
    </row>
    <row r="35" spans="2:13" x14ac:dyDescent="0.2">
      <c r="B35" s="50" t="s">
        <v>137</v>
      </c>
      <c r="C35" s="65">
        <f>-23078*('2023 IR Data Book'!$A$5)</f>
        <v>-6283.8316179273534</v>
      </c>
      <c r="D35" s="65">
        <f>-49099*('2023 IR Data Book'!$A$5)</f>
        <v>-13369.002886238632</v>
      </c>
      <c r="E35" s="65">
        <f>-61465*('2023 IR Data Book'!$A$5)</f>
        <v>-16736.099765833467</v>
      </c>
      <c r="F35" s="65">
        <f>-96549*('2023 IR Data Book'!$A$5)</f>
        <v>-26289.005064531939</v>
      </c>
      <c r="G35" s="65">
        <f>-15971*('2023 IR Data Book'!$A$5)</f>
        <v>-4348.6903011490494</v>
      </c>
      <c r="H35" s="65">
        <f>-36928*('2023 IR Data Book'!$A$5)</f>
        <v>-10055.001906006642</v>
      </c>
      <c r="I35" s="65">
        <f>-45334.603918391*(('2023 IR Data Book'!$A$5))</f>
        <v>-12344.008037464195</v>
      </c>
      <c r="J35" s="65">
        <f>-58781.8263249087*(('2023 IR Data Book'!$A$5))</f>
        <v>-16005.507358522218</v>
      </c>
      <c r="K35" s="65">
        <f>-4201*(('2023 IR Data Book'!$A$5))</f>
        <v>-1143.8762729401512</v>
      </c>
      <c r="L35" s="65">
        <f>-16617.6608600986*((('2023 IR Data Book'!$A$5)))</f>
        <v>-4524.7674290961713</v>
      </c>
      <c r="M35" s="65">
        <f>-23951.1506221876*((('2023 IR Data Book'!$A$5)))</f>
        <v>-6521.5788874877744</v>
      </c>
    </row>
    <row r="36" spans="2:13" ht="15" x14ac:dyDescent="0.2">
      <c r="B36" s="49" t="s">
        <v>138</v>
      </c>
      <c r="C36" s="55">
        <f t="shared" ref="C36:H36" si="10">SUM(C32:C35)</f>
        <v>3039.5360235255775</v>
      </c>
      <c r="D36" s="55">
        <f t="shared" si="10"/>
        <v>44140.391003648634</v>
      </c>
      <c r="E36" s="55">
        <f t="shared" si="10"/>
        <v>82865.272558950077</v>
      </c>
      <c r="F36" s="55">
        <f t="shared" si="10"/>
        <v>86409.900343081114</v>
      </c>
      <c r="G36" s="55">
        <f t="shared" si="10"/>
        <v>31165.695764027208</v>
      </c>
      <c r="H36" s="55">
        <f t="shared" si="10"/>
        <v>65965.800795077055</v>
      </c>
      <c r="I36" s="55">
        <f t="shared" ref="I36:J36" si="11">SUM(I32:I35)</f>
        <v>96705.368029171252</v>
      </c>
      <c r="J36" s="55">
        <f t="shared" si="11"/>
        <v>154443.73024358199</v>
      </c>
      <c r="K36" s="55">
        <f t="shared" ref="K36:L36" si="12">SUM(K32:K35)</f>
        <v>31166.203779338884</v>
      </c>
      <c r="L36" s="55">
        <f t="shared" si="12"/>
        <v>54137.765859311381</v>
      </c>
      <c r="M36" s="55">
        <f t="shared" ref="M36" si="13">SUM(M32:M35)</f>
        <v>107877.36189748887</v>
      </c>
    </row>
    <row r="37" spans="2:13" x14ac:dyDescent="0.2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13" x14ac:dyDescent="0.2">
      <c r="B38" s="46" t="s">
        <v>139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13" x14ac:dyDescent="0.2">
      <c r="B39" s="50" t="s">
        <v>140</v>
      </c>
      <c r="C39" s="65">
        <f>-34074*('2023 IR Data Book'!$A$5)</f>
        <v>-9277.8957686652502</v>
      </c>
      <c r="D39" s="65">
        <f>-63319*('2023 IR Data Book'!$A$5)</f>
        <v>-17240.919239775634</v>
      </c>
      <c r="E39" s="65">
        <f>-99376*('2023 IR Data Book'!$A$5)</f>
        <v>-27058.759461961552</v>
      </c>
      <c r="F39" s="65">
        <f>-128597*('2023 IR Data Book'!$A$5)</f>
        <v>-35015.248053150353</v>
      </c>
      <c r="G39" s="65">
        <f>-15766*('2023 IR Data Book'!$A$5)</f>
        <v>-4292.8715351522078</v>
      </c>
      <c r="H39" s="65">
        <f>-39025*('2023 IR Data Book'!$A$5)</f>
        <v>-10625.987039154821</v>
      </c>
      <c r="I39" s="65">
        <f>-52609.4286512622*(('2023 IR Data Book'!$A$5))</f>
        <v>-14324.845790791864</v>
      </c>
      <c r="J39" s="65">
        <f>-79140.8907876317*(('2023 IR Data Book'!$A$5))</f>
        <v>-21549.009091006832</v>
      </c>
      <c r="K39" s="65">
        <f>-20327*(('2023 IR Data Book'!$A$5))</f>
        <v>-5534.7710069160812</v>
      </c>
      <c r="L39" s="65">
        <f>-70419.057903089*((('2023 IR Data Book'!$A$5)))</f>
        <v>-19174.170316149048</v>
      </c>
      <c r="M39" s="65">
        <f>-91317.5676271028*((('2023 IR Data Book'!$A$5)))</f>
        <v>-24864.555798917063</v>
      </c>
    </row>
    <row r="40" spans="2:13" x14ac:dyDescent="0.2">
      <c r="B40" s="50" t="s">
        <v>141</v>
      </c>
      <c r="C40" s="65">
        <f>2634*('2023 IR Data Book'!$A$5)</f>
        <v>717.20307139356305</v>
      </c>
      <c r="D40" s="65">
        <f>2908*('2023 IR Data Book'!$A$5)</f>
        <v>791.80961716495119</v>
      </c>
      <c r="E40" s="65">
        <f>5654*('2023 IR Data Book'!$A$5)</f>
        <v>1539.5087948592277</v>
      </c>
      <c r="F40" s="65">
        <f>6277*('2023 IR Data Book'!$A$5)</f>
        <v>1709.143386156946</v>
      </c>
      <c r="G40" s="65">
        <f>708*('2023 IR Data Book'!$A$5)</f>
        <v>192.77895768665249</v>
      </c>
      <c r="H40" s="65">
        <f>1376*('2023 IR Data Book'!$A$5)</f>
        <v>374.66644883733591</v>
      </c>
      <c r="I40" s="65">
        <f>2138.54676555677*(('2023 IR Data Book'!$A$5))</f>
        <v>582.29776331666119</v>
      </c>
      <c r="J40" s="65">
        <f>3578.941980125*(('2023 IR Data Book'!$A$5))</f>
        <v>974.49817026765777</v>
      </c>
      <c r="K40" s="65">
        <f>1975*(('2023 IR Data Book'!$A$5))</f>
        <v>537.76616021347274</v>
      </c>
      <c r="L40" s="65">
        <f>6914.74816262396*((('2023 IR Data Book'!$A$5)))</f>
        <v>1882.7937054468114</v>
      </c>
      <c r="M40" s="65">
        <f>6765.40867858112*((('2023 IR Data Book'!$A$5)))</f>
        <v>1842.1305556230243</v>
      </c>
    </row>
    <row r="41" spans="2:13" x14ac:dyDescent="0.2">
      <c r="B41" s="50" t="s">
        <v>142</v>
      </c>
      <c r="C41" s="65">
        <f>0*('2023 IR Data Book'!$A$5)</f>
        <v>0</v>
      </c>
      <c r="D41" s="65">
        <f>0*('2023 IR Data Book'!$A$5)</f>
        <v>0</v>
      </c>
      <c r="E41" s="65">
        <f>0*('2023 IR Data Book'!$A$5)</f>
        <v>0</v>
      </c>
      <c r="F41" s="65">
        <f>0*('2023 IR Data Book'!$A$5)</f>
        <v>0</v>
      </c>
      <c r="G41" s="65">
        <f>0*('2023 IR Data Book'!$A$5)</f>
        <v>0</v>
      </c>
      <c r="H41" s="65">
        <f>0*('2023 IR Data Book'!$A$5)</f>
        <v>0</v>
      </c>
      <c r="I41" s="65">
        <f>0*(('2023 IR Data Book'!$A$5))</f>
        <v>0</v>
      </c>
      <c r="J41" s="65">
        <f>0*(('2023 IR Data Book'!$A$5))</f>
        <v>0</v>
      </c>
      <c r="K41" s="65">
        <f>0*(('2023 IR Data Book'!$A$5))</f>
        <v>0</v>
      </c>
      <c r="L41" s="65">
        <f>0*((('2023 IR Data Book'!$A$5)))</f>
        <v>0</v>
      </c>
      <c r="M41" s="65">
        <f>0*((('2023 IR Data Book'!$A$5)))</f>
        <v>0</v>
      </c>
    </row>
    <row r="42" spans="2:13" x14ac:dyDescent="0.2">
      <c r="B42" s="50" t="s">
        <v>143</v>
      </c>
      <c r="C42" s="65">
        <f>2332*('2023 IR Data Book'!$A$5)</f>
        <v>634.97249904699663</v>
      </c>
      <c r="D42" s="65">
        <f>3855*('2023 IR Data Book'!$A$5)</f>
        <v>1049.665087404019</v>
      </c>
      <c r="E42" s="65">
        <f>5047*('2023 IR Data Book'!$A$5)</f>
        <v>1374.230790175897</v>
      </c>
      <c r="F42" s="65">
        <f>6406*('2023 IR Data Book'!$A$5)</f>
        <v>1744.2683657354462</v>
      </c>
      <c r="G42" s="65">
        <f>991*('2023 IR Data Book'!$A$5)</f>
        <v>269.83608342863363</v>
      </c>
      <c r="H42" s="65">
        <f>1996*('2023 IR Data Book'!$A$5)</f>
        <v>543.48418014485651</v>
      </c>
      <c r="I42" s="65">
        <f>2759.31684564848*(('2023 IR Data Book'!$A$5))</f>
        <v>751.32517716290363</v>
      </c>
      <c r="J42" s="65">
        <f>4932.79116562149*(('2023 IR Data Book'!$A$5))</f>
        <v>1343.1332477322578</v>
      </c>
      <c r="K42" s="65">
        <f>2436*(('2023 IR Data Book'!$A$5))</f>
        <v>663.29031204051626</v>
      </c>
      <c r="L42" s="65">
        <f>4285.25230496629*((('2023 IR Data Book'!$A$5)))</f>
        <v>1166.8170519431164</v>
      </c>
      <c r="M42" s="65">
        <f>5657.50763383836*((('2023 IR Data Book'!$A$5)))</f>
        <v>1540.4638767735009</v>
      </c>
    </row>
    <row r="43" spans="2:13" x14ac:dyDescent="0.2">
      <c r="B43" s="50" t="s">
        <v>144</v>
      </c>
      <c r="C43" s="65">
        <f>-1535*('2023 IR Data Book'!$A$5)</f>
        <v>-417.960028317813</v>
      </c>
      <c r="D43" s="65">
        <f>662*('2023 IR Data Book'!$A$5)</f>
        <v>180.25377117028808</v>
      </c>
      <c r="E43" s="65">
        <f>250*('2023 IR Data Book'!$A$5)</f>
        <v>68.071665849806678</v>
      </c>
      <c r="F43" s="65">
        <f>-421*('2023 IR Data Book'!$A$5)</f>
        <v>-114.63268529107444</v>
      </c>
      <c r="G43" s="65">
        <f>165*('2023 IR Data Book'!$A$5)</f>
        <v>44.927299460872405</v>
      </c>
      <c r="H43" s="65">
        <f>360*('2023 IR Data Book'!$A$5)</f>
        <v>98.023198823721614</v>
      </c>
      <c r="I43" s="65">
        <f>1621.30920095115*(('2023 IR Data Book'!$A$5))</f>
        <v>441.46087266545493</v>
      </c>
      <c r="J43" s="65">
        <f>0.0484931206221972*(('2023 IR Data Book'!$A$5))</f>
        <v>1.3204030012034306E-2</v>
      </c>
      <c r="K43" s="65">
        <f>0.0484931206221972*(('2023 IR Data Book'!$A$5))</f>
        <v>1.3204030012034306E-2</v>
      </c>
      <c r="L43" s="65">
        <f>0*((('2023 IR Data Book'!$A$5)))</f>
        <v>0</v>
      </c>
      <c r="M43" s="65">
        <f>0*((('2023 IR Data Book'!$A$5)))</f>
        <v>0</v>
      </c>
    </row>
    <row r="44" spans="2:13" x14ac:dyDescent="0.2">
      <c r="B44" s="50" t="s">
        <v>145</v>
      </c>
      <c r="C44" s="65">
        <f>0*('2023 IR Data Book'!$A$5)</f>
        <v>0</v>
      </c>
      <c r="D44" s="65">
        <f>0*('2023 IR Data Book'!$A$5)</f>
        <v>0</v>
      </c>
      <c r="E44" s="65">
        <f>289566*('2023 IR Data Book'!$A$5)</f>
        <v>78844.959973860474</v>
      </c>
      <c r="F44" s="65">
        <f>289566*('2023 IR Data Book'!$A$5)</f>
        <v>78844.959973860474</v>
      </c>
      <c r="G44" s="65">
        <f>2545*('2023 IR Data Book'!$A$5)</f>
        <v>692.96955835103188</v>
      </c>
      <c r="H44" s="65">
        <f>2545*('2023 IR Data Book'!$A$5)</f>
        <v>692.96955835103188</v>
      </c>
      <c r="I44" s="65">
        <f>15255.943674*(('2023 IR Data Book'!$A$5))</f>
        <v>4153.99</v>
      </c>
      <c r="J44" s="65">
        <f>16449.538674*(('2023 IR Data Book'!$A$5))</f>
        <v>4478.99</v>
      </c>
      <c r="K44" s="65">
        <f>36083*(('2023 IR Data Book'!$A$5))</f>
        <v>9824.9196754342975</v>
      </c>
      <c r="L44" s="65">
        <f>36082.3125*((('2023 IR Data Book'!$A$5)))</f>
        <v>9824.7324783532094</v>
      </c>
      <c r="M44" s="65">
        <f>36082.3125*((('2023 IR Data Book'!$A$5)))</f>
        <v>9824.7324783532094</v>
      </c>
    </row>
    <row r="45" spans="2:13" x14ac:dyDescent="0.2">
      <c r="B45" s="50" t="s">
        <v>146</v>
      </c>
      <c r="C45" s="65">
        <f>0*('2023 IR Data Book'!$A$5)</f>
        <v>0</v>
      </c>
      <c r="D45" s="65">
        <f>-4659*('2023 IR Data Book'!$A$5)</f>
        <v>-1268.5835647769973</v>
      </c>
      <c r="E45" s="65">
        <f>-5142*('2023 IR Data Book'!$A$5)</f>
        <v>-1400.0980231988237</v>
      </c>
      <c r="F45" s="65">
        <f>0*('2023 IR Data Book'!$A$5)</f>
        <v>0</v>
      </c>
      <c r="G45" s="65">
        <f>0*('2023 IR Data Book'!$A$5)</f>
        <v>0</v>
      </c>
      <c r="H45" s="65">
        <f>0*('2023 IR Data Book'!$A$5)</f>
        <v>0</v>
      </c>
      <c r="I45" s="65">
        <f>0*(('2023 IR Data Book'!$A$5))</f>
        <v>0</v>
      </c>
      <c r="J45" s="65">
        <f>0*(('2023 IR Data Book'!$A$5))</f>
        <v>0</v>
      </c>
      <c r="K45" s="65">
        <f>0*(('2023 IR Data Book'!$A$5))</f>
        <v>0</v>
      </c>
      <c r="L45" s="65">
        <f>0*((('2023 IR Data Book'!$A$5)))</f>
        <v>0</v>
      </c>
      <c r="M45" s="65">
        <f>0*((('2023 IR Data Book'!$A$5)))</f>
        <v>0</v>
      </c>
    </row>
    <row r="46" spans="2:13" x14ac:dyDescent="0.2">
      <c r="B46" s="50" t="s">
        <v>285</v>
      </c>
      <c r="C46" s="65"/>
      <c r="D46" s="65"/>
      <c r="E46" s="65"/>
      <c r="F46" s="65"/>
      <c r="G46" s="65"/>
      <c r="H46" s="65"/>
      <c r="I46" s="65">
        <f>0*(('2023 IR Data Book'!$A$5))</f>
        <v>0</v>
      </c>
      <c r="J46" s="65">
        <f>-943032.761036743*(('2023 IR Data Book'!$A$5))</f>
        <v>-256775.243978855</v>
      </c>
      <c r="K46" s="65">
        <f>0*(('2023 IR Data Book'!$A$5))</f>
        <v>0</v>
      </c>
      <c r="L46" s="65">
        <f>0*((('2023 IR Data Book'!$A$5)))</f>
        <v>0</v>
      </c>
      <c r="M46" s="65">
        <f>11287.1411388*((('2023 IR Data Book'!$A$5)))</f>
        <v>3073.3379999999997</v>
      </c>
    </row>
    <row r="47" spans="2:13" x14ac:dyDescent="0.2">
      <c r="B47" s="50" t="s">
        <v>147</v>
      </c>
      <c r="C47" s="65">
        <f>4557*('2023 IR Data Book'!$A$5)</f>
        <v>1240.8103251102759</v>
      </c>
      <c r="D47" s="65">
        <f>4557*('2023 IR Data Book'!$A$5)</f>
        <v>1240.8103251102759</v>
      </c>
      <c r="E47" s="65">
        <f>13209*('2023 IR Data Book'!$A$5)</f>
        <v>3596.6345368403854</v>
      </c>
      <c r="F47" s="65">
        <f>13209*('2023 IR Data Book'!$A$5)</f>
        <v>3596.6345368403854</v>
      </c>
      <c r="G47" s="65">
        <f>0*('2023 IR Data Book'!$A$5)</f>
        <v>0</v>
      </c>
      <c r="H47" s="65">
        <f>8728*('2023 IR Data Book'!$A$5)</f>
        <v>2376.5179981484507</v>
      </c>
      <c r="I47" s="65">
        <f>8729.19643474623*(('2023 IR Data Book'!$A$5))</f>
        <v>2376.8437713734766</v>
      </c>
      <c r="J47" s="65">
        <f>18208.7389425462*(('2023 IR Data Book'!$A$5))</f>
        <v>4957.9967713734677</v>
      </c>
      <c r="K47" s="65">
        <f>0*(('2023 IR Data Book'!$A$5))</f>
        <v>0</v>
      </c>
      <c r="L47" s="65">
        <v>0</v>
      </c>
      <c r="M47" s="65">
        <v>0</v>
      </c>
    </row>
    <row r="48" spans="2:13" x14ac:dyDescent="0.2">
      <c r="B48" s="50" t="s">
        <v>148</v>
      </c>
      <c r="C48" s="65">
        <f>0*('2023 IR Data Book'!$A$5)</f>
        <v>0</v>
      </c>
      <c r="D48" s="65">
        <f>0*('2023 IR Data Book'!$A$5)</f>
        <v>0</v>
      </c>
      <c r="E48" s="65">
        <f>0*('2023 IR Data Book'!$A$5)</f>
        <v>0</v>
      </c>
      <c r="F48" s="65">
        <f>-4895*('2023 IR Data Book'!$A$5)</f>
        <v>-1332.8432173392146</v>
      </c>
      <c r="G48" s="65">
        <f>0*('2023 IR Data Book'!$A$5)</f>
        <v>0</v>
      </c>
      <c r="H48" s="65">
        <f>0*('2023 IR Data Book'!$A$5)</f>
        <v>0</v>
      </c>
      <c r="I48" s="65">
        <f>0*(('2023 IR Data Book'!$A$5))</f>
        <v>0</v>
      </c>
      <c r="J48" s="65">
        <f>-0.175270342850126*(('2023 IR Data Book'!$A$5))</f>
        <v>-4.7723776847499316E-2</v>
      </c>
      <c r="K48" s="65">
        <f>0*(('2023 IR Data Book'!$A$5))</f>
        <v>0</v>
      </c>
      <c r="L48" s="65">
        <f>0*((('2023 IR Data Book'!$A$5)))</f>
        <v>0</v>
      </c>
      <c r="M48" s="65">
        <f>0*((('2023 IR Data Book'!$A$5)))</f>
        <v>0</v>
      </c>
    </row>
    <row r="49" spans="2:14" x14ac:dyDescent="0.2">
      <c r="B49" s="50" t="s">
        <v>149</v>
      </c>
      <c r="C49" s="65">
        <f>218*('2023 IR Data Book'!$A$5)</f>
        <v>59.358492621031417</v>
      </c>
      <c r="D49" s="65">
        <f>964*('2023 IR Data Book'!$A$5)</f>
        <v>262.48434351685455</v>
      </c>
      <c r="E49" s="65">
        <f>1099*('2023 IR Data Book'!$A$5)</f>
        <v>299.24304307575011</v>
      </c>
      <c r="F49" s="65">
        <f>117*('2023 IR Data Book'!$A$5)</f>
        <v>31.857539617709524</v>
      </c>
      <c r="G49" s="65">
        <f>16*('2023 IR Data Book'!$A$5)</f>
        <v>4.3565866143876271</v>
      </c>
      <c r="H49" s="65">
        <f>196*('2023 IR Data Book'!$A$5)</f>
        <v>53.368186026248431</v>
      </c>
      <c r="I49" s="65">
        <f>332.485447093773*(('2023 IR Data Book'!$A$5))</f>
        <v>90.531353017963568</v>
      </c>
      <c r="J49" s="65">
        <f>-2184.69192783834*(('2023 IR Data Book'!$A$5))</f>
        <v>-594.86247558632567</v>
      </c>
      <c r="K49" s="65">
        <f>377*(('2023 IR Data Book'!$A$5))</f>
        <v>102.65207210150847</v>
      </c>
      <c r="L49" s="65">
        <f>103.057062464837*((('2023 IR Data Book'!$A$5)))</f>
        <v>28.061063678276152</v>
      </c>
      <c r="M49" s="65">
        <f>-885.864328611081*((('2023 IR Data Book'!$A$5)))</f>
        <v>-241.20904226190734</v>
      </c>
    </row>
    <row r="50" spans="2:14" x14ac:dyDescent="0.2">
      <c r="B50" s="50" t="s">
        <v>150</v>
      </c>
      <c r="C50" s="65">
        <f>-2777*('2023 IR Data Book'!$A$5)</f>
        <v>-756.14006425965249</v>
      </c>
      <c r="D50" s="65">
        <f>-7758*('2023 IR Data Book'!$A$5)</f>
        <v>-2112.3999346512005</v>
      </c>
      <c r="E50" s="65">
        <f>0*('2023 IR Data Book'!$A$5)</f>
        <v>0</v>
      </c>
      <c r="F50" s="65">
        <f>-12132*('2023 IR Data Book'!$A$5)</f>
        <v>-3303.3818003594183</v>
      </c>
      <c r="G50" s="65">
        <f>-815*('2023 IR Data Book'!$A$5)</f>
        <v>-221.91363067036974</v>
      </c>
      <c r="H50" s="65">
        <f>2743*('2023 IR Data Book'!$A$5)</f>
        <v>746.88231770407879</v>
      </c>
      <c r="I50" s="65">
        <f>2753.51740387131*(('2023 IR Data Book'!$A$5))</f>
        <v>749.74606651181989</v>
      </c>
      <c r="J50" s="65">
        <f>3967.57154230902*(('2023 IR Data Book'!$A$5))</f>
        <v>1080.3168170530469</v>
      </c>
      <c r="K50" s="65">
        <f>-117*(('2023 IR Data Book'!$A$5))</f>
        <v>-31.857539617709524</v>
      </c>
      <c r="L50" s="65">
        <f>-120.309753082349*((('2023 IR Data Book'!$A$5)))</f>
        <v>-32.758741241177638</v>
      </c>
      <c r="M50" s="65">
        <f>-133.739990658582*((('2023 IR Data Book'!$A$5)))</f>
        <v>-36.415615819469039</v>
      </c>
    </row>
    <row r="51" spans="2:14" x14ac:dyDescent="0.2">
      <c r="B51" s="50" t="s">
        <v>151</v>
      </c>
      <c r="C51" s="65">
        <f>410*('2023 IR Data Book'!$A$5)</f>
        <v>111.63753199368294</v>
      </c>
      <c r="D51" s="65">
        <f>190505*('2023 IR Data Book'!$A$5)</f>
        <v>51871.97081086968</v>
      </c>
      <c r="E51" s="65">
        <f>-120174*('2023 IR Data Book'!$A$5)</f>
        <v>-32721.77748733867</v>
      </c>
      <c r="F51" s="65">
        <f>(1901+195040)*('2023 IR Data Book'!$A$5)</f>
        <v>53624.407776507105</v>
      </c>
      <c r="G51" s="65">
        <f>128*('2023 IR Data Book'!$A$5)</f>
        <v>34.852692915101017</v>
      </c>
      <c r="H51" s="65">
        <f>45155*('2023 IR Data Book'!$A$5)</f>
        <v>12295.104285792082</v>
      </c>
      <c r="I51" s="65">
        <f>45142.2209088347*(('2023 IR Data Book'!$A$5))</f>
        <v>12291.624709697408</v>
      </c>
      <c r="J51" s="65">
        <f>45619.2415088347*(('2023 IR Data Book'!$A$5))</f>
        <v>12421.511057244103</v>
      </c>
      <c r="K51" s="65">
        <f>187*(('2023 IR Data Book'!$A$5))</f>
        <v>50.917606055655391</v>
      </c>
      <c r="L51" s="65">
        <f>304.596876848664*((('2023 IR Data Book'!$A$5)))</f>
        <v>82.937667278947885</v>
      </c>
      <c r="M51" s="65">
        <f>2140.97415741659*((('2023 IR Data Book'!$A$5)))</f>
        <v>582.95870974693401</v>
      </c>
    </row>
    <row r="52" spans="2:14" x14ac:dyDescent="0.2">
      <c r="B52" s="50" t="s">
        <v>152</v>
      </c>
      <c r="C52" s="65">
        <f>0*('2023 IR Data Book'!$A$5)</f>
        <v>0</v>
      </c>
      <c r="D52" s="65">
        <f>0*('2023 IR Data Book'!$A$5)</f>
        <v>0</v>
      </c>
      <c r="E52" s="65">
        <f>0*('2023 IR Data Book'!$A$5)</f>
        <v>0</v>
      </c>
      <c r="F52" s="65">
        <f>567*('2023 IR Data Book'!$A$5)</f>
        <v>154.38653814736153</v>
      </c>
      <c r="G52" s="65">
        <f>0*('2023 IR Data Book'!$A$5)</f>
        <v>0</v>
      </c>
      <c r="H52" s="65">
        <f>0*('2023 IR Data Book'!$A$5)</f>
        <v>0</v>
      </c>
      <c r="I52" s="65">
        <f>(0*('2023 IR Data Book'!$A$5))*(('2023 IR Data Book'!$A$5))</f>
        <v>0</v>
      </c>
      <c r="J52" s="65">
        <f>(0*('2023 IR Data Book'!$A$5))*(('2023 IR Data Book'!$A$5))</f>
        <v>0</v>
      </c>
      <c r="K52" s="65">
        <f>(0*('2023 IR Data Book'!$A$5))*(('2023 IR Data Book'!$A$5))</f>
        <v>0</v>
      </c>
      <c r="L52" s="65">
        <v>0</v>
      </c>
      <c r="M52" s="65">
        <v>0</v>
      </c>
    </row>
    <row r="53" spans="2:14" ht="15" x14ac:dyDescent="0.2">
      <c r="B53" s="49" t="s">
        <v>153</v>
      </c>
      <c r="C53" s="55">
        <f t="shared" ref="C53:M53" si="14">SUM(C39:C52)</f>
        <v>-7688.0139410771653</v>
      </c>
      <c r="D53" s="55">
        <f t="shared" si="14"/>
        <v>34775.09121603224</v>
      </c>
      <c r="E53" s="55">
        <f t="shared" si="14"/>
        <v>24542.013832162495</v>
      </c>
      <c r="F53" s="55">
        <f t="shared" si="14"/>
        <v>99939.552360725371</v>
      </c>
      <c r="G53" s="55">
        <f t="shared" si="14"/>
        <v>-3275.0639873658984</v>
      </c>
      <c r="H53" s="55">
        <f t="shared" si="14"/>
        <v>6555.0291346729828</v>
      </c>
      <c r="I53" s="55">
        <f t="shared" si="14"/>
        <v>7112.9739229538236</v>
      </c>
      <c r="J53" s="55">
        <f t="shared" si="14"/>
        <v>-253662.70400152437</v>
      </c>
      <c r="K53" s="55">
        <f t="shared" si="14"/>
        <v>5612.9304833416727</v>
      </c>
      <c r="L53" s="55">
        <f t="shared" si="14"/>
        <v>-6221.5870906898626</v>
      </c>
      <c r="M53" s="55">
        <f t="shared" si="14"/>
        <v>-8278.5568365017698</v>
      </c>
      <c r="N53" s="147"/>
    </row>
    <row r="54" spans="2:14" x14ac:dyDescent="0.2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133"/>
    </row>
    <row r="55" spans="2:14" x14ac:dyDescent="0.2">
      <c r="B55" s="52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</row>
    <row r="56" spans="2:14" x14ac:dyDescent="0.2">
      <c r="B56" s="46" t="s">
        <v>154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</row>
    <row r="57" spans="2:14" x14ac:dyDescent="0.2">
      <c r="B57" s="52" t="s">
        <v>155</v>
      </c>
      <c r="C57" s="57">
        <f>-17726*('2023 IR Data Book'!$A$5)</f>
        <v>-4826.5533954146922</v>
      </c>
      <c r="D57" s="57">
        <f>-32563*('2023 IR Data Book'!$A$5)</f>
        <v>-8866.4706202690195</v>
      </c>
      <c r="E57" s="57">
        <f>-46408*('2023 IR Data Book'!$A$5)</f>
        <v>-12636.279475031311</v>
      </c>
      <c r="F57" s="57">
        <f>-60218*('2023 IR Data Book'!$A$5)</f>
        <v>-16396.558296574633</v>
      </c>
      <c r="G57" s="57">
        <f>-12262*('2023 IR Data Book'!$A$5)</f>
        <v>-3338.7790666013175</v>
      </c>
      <c r="H57" s="57">
        <f>-27657*('2023 IR Data Book'!$A$5)</f>
        <v>-7530.6322496324128</v>
      </c>
      <c r="I57" s="57">
        <f>-44033.9826625978*(('2023 IR Data Book'!$A$5))</f>
        <v>-11989.866215378152</v>
      </c>
      <c r="J57" s="57">
        <f>-60186.5962564553*(('2023 IR Data Book'!$A$5))</f>
        <v>-16388.0074760266</v>
      </c>
      <c r="K57" s="57">
        <f>-16030*(('2023 IR Data Book'!$A$5))</f>
        <v>-4364.7552142896038</v>
      </c>
      <c r="L57" s="57">
        <f>-46683.2525699299*((('2023 IR Data Book'!$A$5)))</f>
        <v>-12711.227078889588</v>
      </c>
      <c r="M57" s="57">
        <f>-77603.6026334405*((('2023 IR Data Book'!$A$5)))</f>
        <v>-21130.426028818958</v>
      </c>
    </row>
    <row r="58" spans="2:14" x14ac:dyDescent="0.2">
      <c r="B58" s="52" t="s">
        <v>156</v>
      </c>
      <c r="C58" s="57">
        <f>2166*('2023 IR Data Book'!$A$5)</f>
        <v>589.77291292272503</v>
      </c>
      <c r="D58" s="57">
        <f>2137*('2023 IR Data Book'!$A$5)</f>
        <v>581.87659968414744</v>
      </c>
      <c r="E58" s="57">
        <f>3043*('2023 IR Data Book'!$A$5)</f>
        <v>828.56831672384681</v>
      </c>
      <c r="F58" s="57">
        <f>4044*('2023 IR Data Book'!$A$5)</f>
        <v>1101.1272667864728</v>
      </c>
      <c r="G58" s="57">
        <f>1601*('2023 IR Data Book'!$A$5)</f>
        <v>435.93094810216195</v>
      </c>
      <c r="H58" s="57">
        <f>6110*('2023 IR Data Book'!$A$5)</f>
        <v>1663.6715133692751</v>
      </c>
      <c r="I58" s="57">
        <f>15464.6045364219*(('2023 IR Data Book'!$A$5))</f>
        <v>4210.8055700108644</v>
      </c>
      <c r="J58" s="57">
        <f>996033.540730966*(('2023 IR Data Book'!$A$5))</f>
        <v>271206.64943935251</v>
      </c>
      <c r="K58" s="57">
        <f>25482*(('2023 IR Data Book'!$A$5))</f>
        <v>6938.4087567390943</v>
      </c>
      <c r="L58" s="57">
        <f>-20227.3811784303*((('2023 IR Data Book'!$A$5)))</f>
        <v>-5507.6461303791048</v>
      </c>
      <c r="M58" s="57">
        <f>27385.4030889146*((('2023 IR Data Book'!$A$5)))</f>
        <v>7456.6800329234329</v>
      </c>
    </row>
    <row r="59" spans="2:14" x14ac:dyDescent="0.2">
      <c r="B59" s="52" t="s">
        <v>157</v>
      </c>
      <c r="C59" s="57">
        <f>-160225*('2023 IR Data Book'!$A$5)</f>
        <v>-43627.130643141099</v>
      </c>
      <c r="D59" s="57">
        <f>-169019*('2023 IR Data Book'!$A$5)</f>
        <v>-46021.619561073894</v>
      </c>
      <c r="E59" s="57">
        <f>-286405*('2023 IR Data Book'!$A$5)</f>
        <v>-77984.261830855525</v>
      </c>
      <c r="F59" s="57">
        <f>-544203*('2023 IR Data Book'!$A$5)</f>
        <v>-148179.21908184935</v>
      </c>
      <c r="G59" s="57">
        <f>-2804*('2023 IR Data Book'!$A$5)</f>
        <v>-763.49180417143168</v>
      </c>
      <c r="H59" s="57">
        <f>-6930*('2023 IR Data Book'!$A$5)</f>
        <v>-1886.946577356641</v>
      </c>
      <c r="I59" s="57">
        <f>-16648.3220056357*(('2023 IR Data Book'!$A$5))</f>
        <v>-4533.1160501104659</v>
      </c>
      <c r="J59" s="57">
        <f>-24790.5194128191*(('2023 IR Data Book'!$A$5))</f>
        <v>-6750.1278148502688</v>
      </c>
      <c r="K59" s="57">
        <f>-18008*(('2023 IR Data Book'!$A$5))</f>
        <v>-4903.3382344932743</v>
      </c>
      <c r="L59" s="57">
        <f>27709.4666868058*((('2023 IR Data Book'!$A$5)))</f>
        <v>7544.9182287223766</v>
      </c>
      <c r="M59" s="57">
        <f>-21924.65992836*((('2023 IR Data Book'!$A$5)))</f>
        <v>-5969.7924980558728</v>
      </c>
    </row>
    <row r="60" spans="2:14" x14ac:dyDescent="0.2">
      <c r="B60" s="53" t="s">
        <v>158</v>
      </c>
      <c r="C60" s="57">
        <f>-80409*('2023 IR Data Book'!$A$5)</f>
        <v>-21894.298317268418</v>
      </c>
      <c r="D60" s="57">
        <f>-137113*('2023 IR Data Book'!$A$5)</f>
        <v>-37334.041278658173</v>
      </c>
      <c r="E60" s="57">
        <f>-188375*('2023 IR Data Book'!$A$5)</f>
        <v>-51292.000217829329</v>
      </c>
      <c r="F60" s="57">
        <f>-267254*('2023 IR Data Book'!$A$5)</f>
        <v>-72769.699940096936</v>
      </c>
      <c r="G60" s="57">
        <f>-82244*('2023 IR Data Book'!$A$5)</f>
        <v>-22393.944344606</v>
      </c>
      <c r="H60" s="57">
        <f>-146413*('2023 IR Data Book'!$A$5)</f>
        <v>-39866.307248270976</v>
      </c>
      <c r="I60" s="57">
        <f>-217221.814012158*(('2023 IR Data Book'!$A$5))</f>
        <v>-59146.602954897884</v>
      </c>
      <c r="J60" s="57">
        <f>-241793.14812273*(('2023 IR Data Book'!$A$5))</f>
        <v>-65837.049535133148</v>
      </c>
      <c r="K60" s="57">
        <f>-84606*(('2023 IR Data Book'!$A$5))</f>
        <v>-23037.085443554974</v>
      </c>
      <c r="L60" s="57">
        <f>-129436.380678725*((('2023 IR Data Book'!$A$5)))</f>
        <v>-35243.800217482167</v>
      </c>
      <c r="M60" s="57">
        <f>-189046.512717973*((('2023 IR Data Book'!$A$5)))</f>
        <v>-51474.844175236343</v>
      </c>
    </row>
    <row r="61" spans="2:14" x14ac:dyDescent="0.2">
      <c r="B61" s="52" t="s">
        <v>159</v>
      </c>
      <c r="C61" s="57">
        <f>-1202*('2023 IR Data Book'!$A$5)</f>
        <v>-327.28856940587048</v>
      </c>
      <c r="D61" s="57">
        <f>-2395*('2023 IR Data Book'!$A$5)</f>
        <v>-652.12655884114793</v>
      </c>
      <c r="E61" s="57">
        <f>-2389*('2023 IR Data Book'!$A$5)</f>
        <v>-650.49283886075261</v>
      </c>
      <c r="F61" s="57">
        <f>-2654*('2023 IR Data Book'!$A$5)</f>
        <v>-722.64880466154762</v>
      </c>
      <c r="G61" s="57">
        <f>-449*('2023 IR Data Book'!$A$5)</f>
        <v>-122.25671186625279</v>
      </c>
      <c r="H61" s="57">
        <f>-740*('2023 IR Data Book'!$A$5)</f>
        <v>-201.49213091542777</v>
      </c>
      <c r="I61" s="57">
        <f>-227.886074387136*(('2023 IR Data Book'!$A$5))</f>
        <v>-62.050338830021239</v>
      </c>
      <c r="J61" s="57">
        <f>-222.952795800571*(('2023 IR Data Book'!$A$5))</f>
        <v>-60.707072864066603</v>
      </c>
      <c r="K61" s="57">
        <f>0*(('2023 IR Data Book'!$A$5))</f>
        <v>0</v>
      </c>
      <c r="L61" s="57">
        <f>-7639.01166936051*((('2023 IR Data Book'!$A$5)))</f>
        <v>-2080.00099911793</v>
      </c>
      <c r="M61" s="57">
        <f>0*((('2023 IR Data Book'!$A$5)))</f>
        <v>0</v>
      </c>
    </row>
    <row r="62" spans="2:14" x14ac:dyDescent="0.2">
      <c r="B62" s="54" t="s">
        <v>160</v>
      </c>
      <c r="C62" s="57">
        <f>0*('2023 IR Data Book'!$A$5)</f>
        <v>0</v>
      </c>
      <c r="D62" s="57">
        <f>0*('2023 IR Data Book'!$A$5)</f>
        <v>0</v>
      </c>
      <c r="E62" s="57">
        <f>0*('2023 IR Data Book'!$A$5)</f>
        <v>0</v>
      </c>
      <c r="F62" s="57">
        <f>0*('2023 IR Data Book'!$A$5)</f>
        <v>0</v>
      </c>
      <c r="G62" s="57">
        <f>0*('2023 IR Data Book'!$A$5)</f>
        <v>0</v>
      </c>
      <c r="H62" s="57">
        <f>0*('2023 IR Data Book'!$A$5)</f>
        <v>0</v>
      </c>
      <c r="I62" s="57">
        <f>0*(('2023 IR Data Book'!$A$5))</f>
        <v>0</v>
      </c>
      <c r="J62" s="57">
        <f>0*(('2023 IR Data Book'!$A$5))</f>
        <v>0</v>
      </c>
      <c r="K62" s="57">
        <f>0*(('2023 IR Data Book'!$A$5))</f>
        <v>0</v>
      </c>
      <c r="L62" s="57">
        <f>0*((('2023 IR Data Book'!$A$5)))</f>
        <v>0</v>
      </c>
      <c r="M62" s="57">
        <f>0*((('2023 IR Data Book'!$A$5)))</f>
        <v>0</v>
      </c>
    </row>
    <row r="63" spans="2:14" x14ac:dyDescent="0.2">
      <c r="B63" s="54" t="s">
        <v>161</v>
      </c>
      <c r="C63" s="57">
        <f>0*('2023 IR Data Book'!$A$5)</f>
        <v>0</v>
      </c>
      <c r="D63" s="57">
        <f>-190333*('2023 IR Data Book'!$A$5)</f>
        <v>-51825.137504765014</v>
      </c>
      <c r="E63" s="57">
        <f>-190333*('2023 IR Data Book'!$A$5)</f>
        <v>-51825.137504765014</v>
      </c>
      <c r="F63" s="57">
        <f>(E63)*('2023 IR Data Book'!$A$5)</f>
        <v>-14111.29377137859</v>
      </c>
      <c r="G63" s="57">
        <f>0*('2023 IR Data Book'!$A$5)</f>
        <v>0</v>
      </c>
      <c r="H63" s="57">
        <f>-190333*('2023 IR Data Book'!$A$5)</f>
        <v>-51825.137504765014</v>
      </c>
      <c r="I63" s="57">
        <f>-190333*(('2023 IR Data Book'!$A$5))</f>
        <v>-51825.137504765014</v>
      </c>
      <c r="J63" s="57">
        <f>-190333*(('2023 IR Data Book'!$A$5))</f>
        <v>-51825.137504765014</v>
      </c>
      <c r="K63" s="57">
        <f>0*(('2023 IR Data Book'!$A$5))</f>
        <v>0</v>
      </c>
      <c r="L63" s="57">
        <f>-139579.876*((('2023 IR Data Book'!$A$5)))</f>
        <v>-38005.738713717794</v>
      </c>
      <c r="M63" s="57">
        <f>-139579.876*((('2023 IR Data Book'!$A$5)))</f>
        <v>-38005.738713717794</v>
      </c>
    </row>
    <row r="64" spans="2:14" x14ac:dyDescent="0.2">
      <c r="B64" s="50" t="s">
        <v>320</v>
      </c>
      <c r="C64" s="65">
        <f>0*('2023 IR Data Book'!$A$5)</f>
        <v>0</v>
      </c>
      <c r="D64" s="65">
        <f>0*('2023 IR Data Book'!$A$5)</f>
        <v>0</v>
      </c>
      <c r="E64" s="65">
        <f>0*('2023 IR Data Book'!$A$5)</f>
        <v>0</v>
      </c>
      <c r="F64" s="65">
        <f>0*('2023 IR Data Book'!$A$5)</f>
        <v>0</v>
      </c>
      <c r="G64" s="65">
        <f>0*('2023 IR Data Book'!$A$5)</f>
        <v>0</v>
      </c>
      <c r="H64" s="65">
        <f>0*('2023 IR Data Book'!$A$5)</f>
        <v>0</v>
      </c>
      <c r="I64" s="65">
        <f>0*('2023 IR Data Book'!$A$5)</f>
        <v>0</v>
      </c>
      <c r="J64" s="65">
        <f>0*('2023 IR Data Book'!$A$5)</f>
        <v>0</v>
      </c>
      <c r="K64" s="65">
        <f>0*('2023 IR Data Book'!$A$5)</f>
        <v>0</v>
      </c>
      <c r="L64" s="65">
        <f>0*('2023 IR Data Book'!$A$5)</f>
        <v>0</v>
      </c>
      <c r="M64" s="65">
        <f>-7639.008*((('2023 IR Data Book'!$A$5)))</f>
        <v>-2080</v>
      </c>
    </row>
    <row r="65" spans="2:13" ht="15" x14ac:dyDescent="0.25">
      <c r="B65" s="49" t="s">
        <v>162</v>
      </c>
      <c r="C65" s="56">
        <f>SUM(C57:C64)</f>
        <v>-70085.498012307347</v>
      </c>
      <c r="D65" s="56">
        <f t="shared" ref="D65:M65" si="15">SUM(D57:D64)</f>
        <v>-144117.51892392311</v>
      </c>
      <c r="E65" s="56">
        <f t="shared" si="15"/>
        <v>-193559.60355061808</v>
      </c>
      <c r="F65" s="56">
        <f t="shared" si="15"/>
        <v>-251078.29262777459</v>
      </c>
      <c r="G65" s="56">
        <f t="shared" si="15"/>
        <v>-26182.540979142839</v>
      </c>
      <c r="H65" s="56">
        <f t="shared" si="15"/>
        <v>-99646.84419757119</v>
      </c>
      <c r="I65" s="56">
        <f t="shared" si="15"/>
        <v>-123345.96749397067</v>
      </c>
      <c r="J65" s="56">
        <f t="shared" si="15"/>
        <v>130345.62003571342</v>
      </c>
      <c r="K65" s="56">
        <f t="shared" si="15"/>
        <v>-25366.770135598759</v>
      </c>
      <c r="L65" s="56">
        <f t="shared" si="15"/>
        <v>-86003.494910864203</v>
      </c>
      <c r="M65" s="56">
        <f t="shared" si="15"/>
        <v>-111204.12138290552</v>
      </c>
    </row>
    <row r="66" spans="2:13" x14ac:dyDescent="0.2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2:13" ht="15" x14ac:dyDescent="0.2">
      <c r="B67" s="49" t="s">
        <v>163</v>
      </c>
      <c r="C67" s="68">
        <f t="shared" ref="C67:M67" si="16">C36+C53+C65</f>
        <v>-74733.975929858934</v>
      </c>
      <c r="D67" s="68">
        <f t="shared" si="16"/>
        <v>-65202.036704242229</v>
      </c>
      <c r="E67" s="68">
        <f t="shared" si="16"/>
        <v>-86152.317159505503</v>
      </c>
      <c r="F67" s="68">
        <f t="shared" si="16"/>
        <v>-64728.839923968102</v>
      </c>
      <c r="G67" s="68">
        <f t="shared" si="16"/>
        <v>1708.0907975184709</v>
      </c>
      <c r="H67" s="68">
        <f t="shared" si="16"/>
        <v>-27126.014267821156</v>
      </c>
      <c r="I67" s="68">
        <f t="shared" si="16"/>
        <v>-19527.625541845598</v>
      </c>
      <c r="J67" s="68">
        <f t="shared" si="16"/>
        <v>31126.64627777104</v>
      </c>
      <c r="K67" s="68">
        <f t="shared" si="16"/>
        <v>11412.364127081797</v>
      </c>
      <c r="L67" s="68">
        <f t="shared" si="16"/>
        <v>-38087.316142242686</v>
      </c>
      <c r="M67" s="68">
        <f t="shared" si="16"/>
        <v>-11605.316321918421</v>
      </c>
    </row>
    <row r="68" spans="2:13" x14ac:dyDescent="0.2"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</row>
    <row r="69" spans="2:13" x14ac:dyDescent="0.2">
      <c r="B69" s="52" t="s">
        <v>164</v>
      </c>
      <c r="C69" s="65">
        <f>-8408*('2023 IR Data Book'!$A$5)</f>
        <v>-2289.3862658606981</v>
      </c>
      <c r="D69" s="65">
        <f>-10649*('2023 IR Data Book'!$A$5)</f>
        <v>-2899.5806785383652</v>
      </c>
      <c r="E69" s="65">
        <f>-7038*('2023 IR Data Book'!$A$5)</f>
        <v>-1916.3535370037575</v>
      </c>
      <c r="F69" s="65">
        <f>27490*('2023 IR Data Book'!$A$5)</f>
        <v>7485.1603768447421</v>
      </c>
      <c r="G69" s="65">
        <f>-16761*('2023 IR Data Book'!$A$5)</f>
        <v>-4563.7967652344387</v>
      </c>
      <c r="H69" s="65">
        <f>-14043*('2023 IR Data Book'!$A$5)</f>
        <v>-3823.7216141153403</v>
      </c>
      <c r="I69" s="65">
        <f>-19654.6841143637*(('2023 IR Data Book'!$A$5))</f>
        <v>-5351.708357665877</v>
      </c>
      <c r="J69" s="65">
        <f>-45402.2242123379*(('2023 IR Data Book'!$A$5))</f>
        <v>-12362.420141681068</v>
      </c>
      <c r="K69" s="65">
        <f>1394*(('2023 IR Data Book'!$A$5))</f>
        <v>379.56760877852201</v>
      </c>
      <c r="L69" s="65">
        <f>-974.252448109353*((('2023 IR Data Book'!$A$5)))</f>
        <v>-265.27594840422398</v>
      </c>
      <c r="M69" s="65">
        <f>2822.32992289083*((('2023 IR Data Book'!$A$5)))</f>
        <v>768.48279771574084</v>
      </c>
    </row>
    <row r="70" spans="2:13" x14ac:dyDescent="0.2">
      <c r="B70" s="52" t="s">
        <v>165</v>
      </c>
      <c r="C70" s="66">
        <f>907428*('2023 IR Data Book'!$A$5)</f>
        <v>247080.54239503347</v>
      </c>
      <c r="D70" s="66">
        <f>907428*('2023 IR Data Book'!$A$5)</f>
        <v>247080.54239503347</v>
      </c>
      <c r="E70" s="66">
        <f>955649*('2023 IR Data Book'!$A$5)</f>
        <v>260210.4775908076</v>
      </c>
      <c r="F70" s="66">
        <f>907428*('2023 IR Data Book'!$A$5)</f>
        <v>247080.54239503347</v>
      </c>
      <c r="G70" s="66">
        <f>558687*('2023 IR Data Book'!$A$5)</f>
        <v>152123.01911452378</v>
      </c>
      <c r="H70" s="66">
        <f>558687*('2023 IR Data Book'!$A$5)</f>
        <v>152123.01911452378</v>
      </c>
      <c r="I70" s="66">
        <f>558686.612170299*(('2023 IR Data Book'!$A$5))</f>
        <v>152122.91351366852</v>
      </c>
      <c r="J70" s="66">
        <f>558686.612170299*(('2023 IR Data Book'!$A$5))</f>
        <v>152122.91351366852</v>
      </c>
      <c r="K70" s="66">
        <f>627600*(('2023 IR Data Book'!$A$5))</f>
        <v>170887.10994935466</v>
      </c>
      <c r="L70" s="66">
        <f>627600.108306456*((('2023 IR Data Book'!$A$5)))</f>
        <v>170887.1394397582</v>
      </c>
      <c r="M70" s="66">
        <f>627600.108306456*((('2023 IR Data Book'!$A$5)))</f>
        <v>170887.1394397582</v>
      </c>
    </row>
    <row r="71" spans="2:13" ht="15" x14ac:dyDescent="0.2">
      <c r="B71" s="49" t="s">
        <v>166</v>
      </c>
      <c r="C71" s="55">
        <f t="shared" ref="C71:H71" si="17">C67+C69+C70</f>
        <v>170057.18019931385</v>
      </c>
      <c r="D71" s="55">
        <f t="shared" si="17"/>
        <v>178978.92501225288</v>
      </c>
      <c r="E71" s="55">
        <f t="shared" si="17"/>
        <v>172141.80689429835</v>
      </c>
      <c r="F71" s="55">
        <f t="shared" si="17"/>
        <v>189836.86284791009</v>
      </c>
      <c r="G71" s="55">
        <f t="shared" si="17"/>
        <v>149267.31314680781</v>
      </c>
      <c r="H71" s="55">
        <f t="shared" si="17"/>
        <v>121173.28323258727</v>
      </c>
      <c r="I71" s="55">
        <f t="shared" ref="I71:J71" si="18">I67+I69+I70</f>
        <v>127243.57961415705</v>
      </c>
      <c r="J71" s="55">
        <f t="shared" si="18"/>
        <v>170887.13964975849</v>
      </c>
      <c r="K71" s="55">
        <f t="shared" ref="K71:L71" si="19">K67+K69+K70</f>
        <v>182679.04168521499</v>
      </c>
      <c r="L71" s="55">
        <f t="shared" si="19"/>
        <v>132534.54734911129</v>
      </c>
      <c r="M71" s="55">
        <f t="shared" ref="M71" si="20">M67+M69+M70</f>
        <v>160050.30591555551</v>
      </c>
    </row>
    <row r="72" spans="2:13" x14ac:dyDescent="0.2">
      <c r="C72" s="69"/>
      <c r="D72" s="69"/>
      <c r="E72" s="69"/>
      <c r="F72" s="69"/>
      <c r="G72" s="69"/>
      <c r="H72" s="63"/>
      <c r="I72" s="63"/>
      <c r="J72" s="63"/>
      <c r="K72" s="63"/>
      <c r="L72" s="63"/>
      <c r="M72" s="63"/>
    </row>
    <row r="73" spans="2:13" x14ac:dyDescent="0.2">
      <c r="C73" s="69"/>
      <c r="D73" s="69"/>
      <c r="E73" s="69"/>
      <c r="F73" s="69"/>
      <c r="G73" s="69"/>
      <c r="H73" s="63"/>
      <c r="I73" s="63"/>
      <c r="J73" s="63"/>
      <c r="K73" s="63"/>
      <c r="L73" s="63"/>
      <c r="M73" s="63"/>
    </row>
    <row r="74" spans="2:13" x14ac:dyDescent="0.2">
      <c r="C74" s="130" t="s">
        <v>167</v>
      </c>
      <c r="D74" s="128" t="s">
        <v>168</v>
      </c>
      <c r="E74" s="130" t="s">
        <v>169</v>
      </c>
      <c r="F74" s="130" t="s">
        <v>170</v>
      </c>
      <c r="G74" s="130" t="s">
        <v>171</v>
      </c>
      <c r="H74" s="128" t="s">
        <v>172</v>
      </c>
      <c r="I74" s="128" t="s">
        <v>262</v>
      </c>
      <c r="J74" s="128" t="s">
        <v>281</v>
      </c>
      <c r="K74" s="128" t="s">
        <v>286</v>
      </c>
      <c r="L74" s="128" t="s">
        <v>302</v>
      </c>
      <c r="M74" s="128" t="s">
        <v>313</v>
      </c>
    </row>
    <row r="75" spans="2:13" x14ac:dyDescent="0.2">
      <c r="B75" s="71" t="s">
        <v>173</v>
      </c>
      <c r="C75" s="208">
        <f>'Group Profit &amp; Loss Stm'!C8</f>
        <v>387990.25213745027</v>
      </c>
      <c r="D75" s="208">
        <f>'Group Profit &amp; Loss Stm'!D8+'Group Profit &amp; Loss Stm'!C8</f>
        <v>815731.63426455366</v>
      </c>
      <c r="E75" s="208">
        <f>'Group Profit &amp; Loss Stm'!E8+'Group Profit &amp; Loss Stm'!D8+'Group Profit &amp; Loss Stm'!C8+1</f>
        <v>1213653.4533028372</v>
      </c>
      <c r="F75" s="208">
        <f>'Group Profit &amp; Loss Stm'!G8</f>
        <v>1652454.664270544</v>
      </c>
      <c r="G75" s="208">
        <f>'Group Profit &amp; Loss Stm'!H8</f>
        <v>394524.81323773891</v>
      </c>
      <c r="H75" s="208">
        <f>'Group Profit &amp; Loss Stm'!I8+'Group Profit &amp; Loss Stm'!H8</f>
        <v>807471.70401660679</v>
      </c>
      <c r="I75" s="208">
        <f>'Group Profit &amp; Loss Stm'!I8+'Group Profit &amp; Loss Stm'!H8+'Group Profit &amp; Loss Stm'!J8</f>
        <v>1195820.6792087948</v>
      </c>
      <c r="J75" s="208">
        <f>'Group Profit &amp; Loss Stm'!L8</f>
        <v>1613572.0960350323</v>
      </c>
      <c r="K75" s="208">
        <f>'Group Profit &amp; Loss Stm'!M8</f>
        <v>389777.26950933941</v>
      </c>
      <c r="L75" s="208">
        <f>'Group Profit &amp; Loss Stm'!N8+'Group Profit &amp; Loss Stm'!M8</f>
        <v>767939.67586011812</v>
      </c>
      <c r="M75" s="208">
        <f>'Group Profit &amp; Loss Stm'!M8+'Group Profit &amp; Loss Stm'!N8+'Group Profit &amp; Loss Stm'!O8</f>
        <v>1135438.9407545417</v>
      </c>
    </row>
    <row r="76" spans="2:13" x14ac:dyDescent="0.2">
      <c r="B76" s="71" t="s">
        <v>174</v>
      </c>
      <c r="C76" s="206">
        <f t="shared" ref="C76:M76" si="21">-C39</f>
        <v>9277.8957686652502</v>
      </c>
      <c r="D76" s="206">
        <f t="shared" si="21"/>
        <v>17240.919239775634</v>
      </c>
      <c r="E76" s="206">
        <f t="shared" si="21"/>
        <v>27058.759461961552</v>
      </c>
      <c r="F76" s="206">
        <f t="shared" si="21"/>
        <v>35015.248053150353</v>
      </c>
      <c r="G76" s="206">
        <f t="shared" si="21"/>
        <v>4292.8715351522078</v>
      </c>
      <c r="H76" s="206">
        <f t="shared" si="21"/>
        <v>10625.987039154821</v>
      </c>
      <c r="I76" s="206">
        <f t="shared" si="21"/>
        <v>14324.845790791864</v>
      </c>
      <c r="J76" s="206">
        <f t="shared" si="21"/>
        <v>21549.009091006832</v>
      </c>
      <c r="K76" s="206">
        <f t="shared" si="21"/>
        <v>5534.7710069160812</v>
      </c>
      <c r="L76" s="206">
        <f t="shared" si="21"/>
        <v>19174.170316149048</v>
      </c>
      <c r="M76" s="206">
        <f t="shared" si="21"/>
        <v>24864.555798917063</v>
      </c>
    </row>
    <row r="77" spans="2:13" x14ac:dyDescent="0.2">
      <c r="B77" s="71" t="s">
        <v>175</v>
      </c>
      <c r="C77" s="207">
        <f t="shared" ref="C77:H77" si="22">C76/C75</f>
        <v>2.3912703263942937E-2</v>
      </c>
      <c r="D77" s="207">
        <f t="shared" si="22"/>
        <v>2.1135528543427987E-2</v>
      </c>
      <c r="E77" s="207">
        <f t="shared" si="22"/>
        <v>2.2295293098968102E-2</v>
      </c>
      <c r="F77" s="207">
        <f t="shared" si="22"/>
        <v>2.1189838856249293E-2</v>
      </c>
      <c r="G77" s="207">
        <f t="shared" si="22"/>
        <v>1.088111923790543E-2</v>
      </c>
      <c r="H77" s="207">
        <f t="shared" si="22"/>
        <v>1.3159578207258495E-2</v>
      </c>
      <c r="I77" s="207">
        <f t="shared" ref="I77:J77" si="23">I76/I75</f>
        <v>1.1979091882128834E-2</v>
      </c>
      <c r="J77" s="207">
        <f t="shared" si="23"/>
        <v>1.3354847387332967E-2</v>
      </c>
      <c r="K77" s="207">
        <f t="shared" ref="K77:L77" si="24">K76/K75</f>
        <v>1.4199830107803306E-2</v>
      </c>
      <c r="L77" s="207">
        <f t="shared" si="24"/>
        <v>2.4968328787900347E-2</v>
      </c>
      <c r="M77" s="207">
        <f t="shared" ref="M77" si="25">M76/M75</f>
        <v>2.1898628720971675E-2</v>
      </c>
    </row>
    <row r="78" spans="2:13" x14ac:dyDescent="0.2">
      <c r="B78" s="71"/>
    </row>
    <row r="82" spans="2:2" x14ac:dyDescent="0.2">
      <c r="B82" s="71"/>
    </row>
  </sheetData>
  <pageMargins left="0.7" right="0.7" top="0.75" bottom="0.75" header="0.3" footer="0.3"/>
  <pageSetup orientation="portrait" horizontalDpi="1200" verticalDpi="1200" r:id="rId1"/>
  <ignoredErrors>
    <ignoredError sqref="E70 C48:H48 C17:F20 F52 C51:F51 C50:F50 C49:F49 C47:I4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13515-43FA-4F38-9C20-53D5790F179B}">
  <dimension ref="A1:U27"/>
  <sheetViews>
    <sheetView showGridLines="0" zoomScaleNormal="100" workbookViewId="0">
      <pane xSplit="2" ySplit="5" topLeftCell="H6" activePane="bottomRight" state="frozen"/>
      <selection pane="topRight" activeCell="P28" sqref="P28"/>
      <selection pane="bottomLeft" activeCell="P28" sqref="P28"/>
      <selection pane="bottomRight" activeCell="Q22" sqref="Q22"/>
    </sheetView>
  </sheetViews>
  <sheetFormatPr defaultColWidth="9.140625" defaultRowHeight="12.75" x14ac:dyDescent="0.2"/>
  <cols>
    <col min="1" max="1" width="6.28515625" style="20" customWidth="1"/>
    <col min="2" max="2" width="35.85546875" style="20" customWidth="1"/>
    <col min="3" max="3" width="14.7109375" style="20" customWidth="1"/>
    <col min="4" max="4" width="14.140625" style="20" customWidth="1"/>
    <col min="5" max="5" width="14" style="20" customWidth="1"/>
    <col min="6" max="7" width="14.140625" style="20" customWidth="1"/>
    <col min="8" max="8" width="13.85546875" style="20" customWidth="1"/>
    <col min="9" max="12" width="12.7109375" style="20" customWidth="1"/>
    <col min="13" max="13" width="12.7109375" style="20" bestFit="1" customWidth="1"/>
    <col min="14" max="15" width="12.7109375" style="20" customWidth="1"/>
    <col min="16" max="16" width="13.140625" style="20" customWidth="1"/>
    <col min="17" max="17" width="9.140625" style="20"/>
    <col min="18" max="19" width="10.140625" style="20" bestFit="1" customWidth="1"/>
    <col min="20" max="16384" width="9.140625" style="20"/>
  </cols>
  <sheetData>
    <row r="1" spans="1:21" x14ac:dyDescent="0.2">
      <c r="A1" s="163">
        <f>'2023 IR Data Book'!$A$5</f>
        <v>0.27228666339922669</v>
      </c>
    </row>
    <row r="2" spans="1:21" x14ac:dyDescent="0.2">
      <c r="A2" s="163"/>
    </row>
    <row r="3" spans="1:21" ht="15" x14ac:dyDescent="0.25">
      <c r="B3" s="70"/>
    </row>
    <row r="4" spans="1:21" ht="14.25" customHeight="1" x14ac:dyDescent="0.2">
      <c r="B4" s="72" t="s">
        <v>290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176" t="s">
        <v>19</v>
      </c>
      <c r="Q4" s="176"/>
    </row>
    <row r="5" spans="1:21" x14ac:dyDescent="0.2">
      <c r="B5" s="74"/>
      <c r="C5" s="203" t="s">
        <v>20</v>
      </c>
      <c r="D5" s="203" t="s">
        <v>21</v>
      </c>
      <c r="E5" s="203" t="s">
        <v>22</v>
      </c>
      <c r="F5" s="203" t="s">
        <v>23</v>
      </c>
      <c r="G5" s="203">
        <v>2021</v>
      </c>
      <c r="H5" s="203" t="s">
        <v>25</v>
      </c>
      <c r="I5" s="203" t="s">
        <v>26</v>
      </c>
      <c r="J5" s="203" t="s">
        <v>260</v>
      </c>
      <c r="K5" s="203" t="s">
        <v>279</v>
      </c>
      <c r="L5" s="203">
        <v>2022</v>
      </c>
      <c r="M5" s="203" t="s">
        <v>286</v>
      </c>
      <c r="N5" s="203" t="s">
        <v>300</v>
      </c>
      <c r="O5" s="203" t="s">
        <v>306</v>
      </c>
      <c r="P5" s="75" t="s">
        <v>307</v>
      </c>
      <c r="Q5" s="75" t="s">
        <v>27</v>
      </c>
    </row>
    <row r="6" spans="1:21" x14ac:dyDescent="0.2">
      <c r="B6" s="76"/>
      <c r="C6" s="76"/>
      <c r="D6" s="77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</row>
    <row r="7" spans="1:21" ht="15" x14ac:dyDescent="0.25">
      <c r="B7" s="181" t="s">
        <v>173</v>
      </c>
      <c r="C7" s="185">
        <f>1002142.34808517*('2023 IR Data Book'!$A$5)</f>
        <v>272869.99621117738</v>
      </c>
      <c r="D7" s="185">
        <f>1100781.67756688*('2023 IR Data Book'!$A$5)</f>
        <v>299728.17011568911</v>
      </c>
      <c r="E7" s="185">
        <f>1069651.75737739*(('2023 IR Data Book'!$A$5))</f>
        <v>291251.90801540873</v>
      </c>
      <c r="F7" s="185">
        <f>1097153.77672902*(('2023 IR Data Book'!$A$5))</f>
        <v>298740.34110140498</v>
      </c>
      <c r="G7" s="185">
        <f>C7+D7+E7+F7</f>
        <v>1162590.4154436802</v>
      </c>
      <c r="H7" s="185">
        <f>935616.886*(('2023 IR Data Book'!$A$5))</f>
        <v>254756.00010891465</v>
      </c>
      <c r="I7" s="185">
        <f>960926.278826837*((('2023 IR Data Book'!$A$5)))</f>
        <v>261647.4102343944</v>
      </c>
      <c r="J7" s="185">
        <f>((913035.345530228-24524.9339228929-24763.2105341343))*(('2023 IR Data Book'!$A$5))</f>
        <v>235186.8434006428</v>
      </c>
      <c r="K7" s="185">
        <f>989790.300054706*(('2023 IR Data Book'!$A$5))</f>
        <v>269506.69826681534</v>
      </c>
      <c r="L7" s="185">
        <f>SUM(H7:K7)</f>
        <v>1021096.9520107673</v>
      </c>
      <c r="M7" s="185">
        <f>928233.120686088*(('2023 IR Data Book'!$A$5))</f>
        <v>252745.49928826661</v>
      </c>
      <c r="N7" s="185">
        <f>912426.259611566*((('2023 IR Data Book'!$A$5)))</f>
        <v>248441.50182746988</v>
      </c>
      <c r="O7" s="185">
        <f>864547.811795426*(((('2023 IR Data Book'!$A$5))))</f>
        <v>235404.83902287914</v>
      </c>
      <c r="P7" s="186">
        <f>O7-J7</f>
        <v>217.99562223633984</v>
      </c>
      <c r="Q7" s="187">
        <f>P7/J7</f>
        <v>9.2690398444177612E-4</v>
      </c>
      <c r="S7" s="89"/>
      <c r="T7" s="239"/>
      <c r="U7" s="239"/>
    </row>
    <row r="8" spans="1:21" ht="15" x14ac:dyDescent="0.25">
      <c r="B8" s="182" t="s">
        <v>176</v>
      </c>
      <c r="C8" s="188">
        <f>717028.001907232*('2023 IR Data Book'!$A$5)</f>
        <v>195237.16220313456</v>
      </c>
      <c r="D8" s="188">
        <f>775480.325927456*('2023 IR Data Book'!$A$5)</f>
        <v>211152.95047853183</v>
      </c>
      <c r="E8" s="188">
        <f>747513.363608859*(('2023 IR Data Book'!$A$5))</f>
        <v>203537.91962338914</v>
      </c>
      <c r="F8" s="188">
        <f>827660.140224345*(('2023 IR Data Book'!$A$5))</f>
        <v>225360.81801022301</v>
      </c>
      <c r="G8" s="188">
        <f>C8+D8+E8+F8</f>
        <v>835288.85031527851</v>
      </c>
      <c r="H8" s="188">
        <f>665068.356508206*(('2023 IR Data Book'!$A$5))</f>
        <v>181089.24372602679</v>
      </c>
      <c r="I8" s="188">
        <f>678187.381940867*((('2023 IR Data Book'!$A$5)))</f>
        <v>184661.37938813565</v>
      </c>
      <c r="J8" s="188">
        <f>(643262.5889205-11183.4452050221-9074.07272047409)*(('2023 IR Data Book'!$A$5))</f>
        <v>169635.97206202793</v>
      </c>
      <c r="K8" s="188">
        <f>698198.881418526*(('2023 IR Data Book'!$A$5))</f>
        <v>190110.24381052281</v>
      </c>
      <c r="L8" s="188">
        <f>SUM(H8:K8)</f>
        <v>725496.83898671321</v>
      </c>
      <c r="M8" s="188">
        <f>656801.046732577*(('2023 IR Data Book'!$A$5))</f>
        <v>178838.16553193296</v>
      </c>
      <c r="N8" s="188">
        <f>649510.965100682*((('2023 IR Data Book'!$A$5)))</f>
        <v>176853.17352847627</v>
      </c>
      <c r="O8" s="188">
        <f>609873.435747044*(((('2023 IR Data Book'!$A$5))))</f>
        <v>166060.40291538529</v>
      </c>
      <c r="P8" s="189">
        <f>O8-J8</f>
        <v>-3575.569146642636</v>
      </c>
      <c r="Q8" s="190">
        <f>P8/J8</f>
        <v>-2.1077894642153011E-2</v>
      </c>
      <c r="T8" s="239"/>
      <c r="U8" s="239"/>
    </row>
    <row r="9" spans="1:21" ht="15" x14ac:dyDescent="0.25">
      <c r="B9" s="184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90"/>
      <c r="S9" s="2"/>
    </row>
    <row r="10" spans="1:21" ht="15" x14ac:dyDescent="0.25">
      <c r="B10" s="181" t="s">
        <v>177</v>
      </c>
      <c r="C10" s="185">
        <f t="shared" ref="C10:I10" si="0">C7-C8</f>
        <v>77632.834008042817</v>
      </c>
      <c r="D10" s="185">
        <f t="shared" si="0"/>
        <v>88575.219637157279</v>
      </c>
      <c r="E10" s="185">
        <f t="shared" si="0"/>
        <v>87713.988392019586</v>
      </c>
      <c r="F10" s="185">
        <f t="shared" ref="F10:G10" si="1">F7-F8</f>
        <v>73379.523091181967</v>
      </c>
      <c r="G10" s="185">
        <f t="shared" si="1"/>
        <v>327301.56512840174</v>
      </c>
      <c r="H10" s="185">
        <f t="shared" si="0"/>
        <v>73666.756382887863</v>
      </c>
      <c r="I10" s="185">
        <f t="shared" si="0"/>
        <v>76986.030846258742</v>
      </c>
      <c r="J10" s="185">
        <f t="shared" ref="J10:L10" si="2">J7-J8</f>
        <v>65550.871338614874</v>
      </c>
      <c r="K10" s="185">
        <f t="shared" si="2"/>
        <v>79396.454456292529</v>
      </c>
      <c r="L10" s="185">
        <f t="shared" si="2"/>
        <v>295600.1130240541</v>
      </c>
      <c r="M10" s="185">
        <f t="shared" ref="M10:N10" si="3">M7-M8</f>
        <v>73907.333756333654</v>
      </c>
      <c r="N10" s="185">
        <f t="shared" si="3"/>
        <v>71588.328298993612</v>
      </c>
      <c r="O10" s="185">
        <f t="shared" ref="O10" si="4">O7-O8</f>
        <v>69344.43610749385</v>
      </c>
      <c r="P10" s="186">
        <f>O10-J10</f>
        <v>3793.5647688789759</v>
      </c>
      <c r="Q10" s="187">
        <f>P10/J10</f>
        <v>5.7872072352518879E-2</v>
      </c>
      <c r="T10" s="239"/>
      <c r="U10" s="239"/>
    </row>
    <row r="11" spans="1:21" ht="15" x14ac:dyDescent="0.25">
      <c r="B11" s="183" t="s">
        <v>178</v>
      </c>
      <c r="C11" s="191">
        <f t="shared" ref="C11:I11" si="5">C10/C7</f>
        <v>0.28450483778349095</v>
      </c>
      <c r="D11" s="191">
        <f t="shared" si="5"/>
        <v>0.2955185013239463</v>
      </c>
      <c r="E11" s="191">
        <f t="shared" si="5"/>
        <v>0.30116193569238031</v>
      </c>
      <c r="F11" s="191">
        <f t="shared" ref="F11:G11" si="6">F10/F7</f>
        <v>0.24562977608127551</v>
      </c>
      <c r="G11" s="191">
        <f t="shared" si="6"/>
        <v>0.28152783713040797</v>
      </c>
      <c r="H11" s="191">
        <f t="shared" si="5"/>
        <v>0.28916593270185376</v>
      </c>
      <c r="I11" s="191">
        <f t="shared" si="5"/>
        <v>0.29423578386383231</v>
      </c>
      <c r="J11" s="191">
        <f t="shared" ref="J11:L11" si="7">J10/J7</f>
        <v>0.27871827518407738</v>
      </c>
      <c r="K11" s="191">
        <f t="shared" si="7"/>
        <v>0.29459918794926926</v>
      </c>
      <c r="L11" s="191">
        <f t="shared" si="7"/>
        <v>0.28949269943657324</v>
      </c>
      <c r="M11" s="191">
        <f t="shared" ref="M11:N11" si="8">M10/M7</f>
        <v>0.29241800136681884</v>
      </c>
      <c r="N11" s="191">
        <f t="shared" si="8"/>
        <v>0.28814963591996035</v>
      </c>
      <c r="O11" s="191">
        <f t="shared" ref="O11" si="9">O10/O7</f>
        <v>0.29457523641115219</v>
      </c>
      <c r="P11" s="191"/>
      <c r="Q11" s="191"/>
    </row>
    <row r="12" spans="1:21" ht="15" x14ac:dyDescent="0.25">
      <c r="B12" s="79" t="s">
        <v>179</v>
      </c>
      <c r="C12" s="192">
        <f>223548.286214403*('2023 IR Data Book'!$A$5)</f>
        <v>60869.216961935133</v>
      </c>
      <c r="D12" s="192">
        <f>225862.194456106*('2023 IR Data Book'!$A$5)</f>
        <v>61499.263316480421</v>
      </c>
      <c r="E12" s="192">
        <f>275607.908898911*(('2023 IR Data Book'!$A$5))</f>
        <v>75044.357920522511</v>
      </c>
      <c r="F12" s="192">
        <f>241119.056582815*(('2023 IR Data Book'!$A$5))</f>
        <v>65653.503398904053</v>
      </c>
      <c r="G12" s="192">
        <f>C12+D12+E12+F12</f>
        <v>263066.34159784211</v>
      </c>
      <c r="H12" s="192">
        <f>223985.320788361*(('2023 IR Data Book'!$A$5))</f>
        <v>60988.215647868259</v>
      </c>
      <c r="I12" s="192">
        <f>238043.467110935*((('2023 IR Data Book'!$A$5)))</f>
        <v>64816.061403620042</v>
      </c>
      <c r="J12" s="192">
        <f>(256404.184936925-14618.8447945164-14468.717003717)*(('2023 IR Data Book'!$A$5))</f>
        <v>61895.284849613789</v>
      </c>
      <c r="K12" s="192">
        <f>255846.77001026*(('2023 IR Data Book'!$A$5))</f>
        <v>69663.663347563022</v>
      </c>
      <c r="L12" s="192">
        <f>SUM(H12:K12)</f>
        <v>257363.22524866508</v>
      </c>
      <c r="M12" s="192">
        <f>234187.867171094*(('2023 IR Data Book'!$A$5))</f>
        <v>63766.232960598485</v>
      </c>
      <c r="N12" s="192">
        <f>232843.735612062*((('2023 IR Data Book'!$A$5)))</f>
        <v>63400.243863220065</v>
      </c>
      <c r="O12" s="192">
        <f>227029.018945017*(((('2023 IR Data Book'!$A$5))))</f>
        <v>61816.974063338501</v>
      </c>
      <c r="P12" s="193">
        <f>O12-J12</f>
        <v>-78.310786275287683</v>
      </c>
      <c r="Q12" s="190">
        <f>P12/J12</f>
        <v>-1.2652140864293367E-3</v>
      </c>
      <c r="T12" s="239"/>
      <c r="U12" s="239"/>
    </row>
    <row r="13" spans="1:21" ht="15" x14ac:dyDescent="0.25">
      <c r="B13" s="80" t="s">
        <v>180</v>
      </c>
      <c r="C13" s="194">
        <f>67793.5305039601*('2023 IR Data Book'!$A$5)</f>
        <v>18459.274220976989</v>
      </c>
      <c r="D13" s="194">
        <f>104626.763731849*('2023 IR Data Book'!$A$5)</f>
        <v>28488.472398804388</v>
      </c>
      <c r="E13" s="194">
        <f>42423.4319606453*(('2023 IR Data Book'!$A$5))</f>
        <v>11551.334738508222</v>
      </c>
      <c r="F13" s="194">
        <f>37379.9776700221*(('2023 IR Data Book'!$A$5))</f>
        <v>10178.069397707917</v>
      </c>
      <c r="G13" s="194">
        <f>C13+D13+E13+F13</f>
        <v>68677.150755997514</v>
      </c>
      <c r="H13" s="194">
        <f>(51221.864021735)*(('2023 IR Data Book'!$A$5))</f>
        <v>13947.030447567116</v>
      </c>
      <c r="I13" s="194">
        <f>40621.4865499611*((('2023 IR Data Book'!$A$5)))</f>
        <v>11060.689035005471</v>
      </c>
      <c r="J13" s="194">
        <f>(20147.1087077667--1224.86420941922-512.846680396088)*(('2023 IR Data Book'!$A$5))</f>
        <v>5679.6618844387722</v>
      </c>
      <c r="K13" s="194">
        <f>31705.2536676977*(('2023 IR Data Book'!$A$5))</f>
        <v>8632.9177334035012</v>
      </c>
      <c r="L13" s="194">
        <f>SUM(H13:K13)</f>
        <v>39320.299100414864</v>
      </c>
      <c r="M13" s="194">
        <f>37804.83291688*(('2023 IR Data Book'!$A$5))</f>
        <v>10293.751815302508</v>
      </c>
      <c r="N13" s="194">
        <f>30286.0226548901*((('2023 IR Data Book'!$A$5)))</f>
        <v>8246.4800563334156</v>
      </c>
      <c r="O13" s="194">
        <f>26387.314747738*(((('2023 IR Data Book'!$A$5))))</f>
        <v>7184.9138887267873</v>
      </c>
      <c r="P13" s="194">
        <f>O13-J13</f>
        <v>1505.2520042880151</v>
      </c>
      <c r="Q13" s="195">
        <f>P13/J13</f>
        <v>0.26502493192634025</v>
      </c>
      <c r="S13" s="28"/>
      <c r="T13" s="28"/>
      <c r="U13" s="239"/>
    </row>
    <row r="14" spans="1:21" ht="15" x14ac:dyDescent="0.25">
      <c r="B14" s="70" t="s">
        <v>181</v>
      </c>
      <c r="C14" s="191">
        <f t="shared" ref="C14:I14" si="10">C13/C7</f>
        <v>6.7648603647471509E-2</v>
      </c>
      <c r="D14" s="191">
        <f t="shared" si="10"/>
        <v>9.5047697344591953E-2</v>
      </c>
      <c r="E14" s="191">
        <f t="shared" si="10"/>
        <v>3.9660975329634911E-2</v>
      </c>
      <c r="F14" s="191">
        <f t="shared" ref="F14:G14" si="11">F13/F7</f>
        <v>3.4069953057505063E-2</v>
      </c>
      <c r="G14" s="191">
        <f t="shared" si="11"/>
        <v>5.9072524462356078E-2</v>
      </c>
      <c r="H14" s="191">
        <f t="shared" si="10"/>
        <v>5.4746622028939089E-2</v>
      </c>
      <c r="I14" s="191">
        <f t="shared" si="10"/>
        <v>4.2273260129335334E-2</v>
      </c>
      <c r="J14" s="191">
        <f t="shared" ref="J14:L14" si="12">J13/J7</f>
        <v>2.4149573174735033E-2</v>
      </c>
      <c r="K14" s="191">
        <f t="shared" si="12"/>
        <v>3.2032293775707175E-2</v>
      </c>
      <c r="L14" s="191">
        <f t="shared" si="12"/>
        <v>3.8507899786581909E-2</v>
      </c>
      <c r="M14" s="191">
        <f t="shared" ref="M14:N14" si="13">M13/M7</f>
        <v>4.0727735387137642E-2</v>
      </c>
      <c r="N14" s="191">
        <f t="shared" si="13"/>
        <v>3.3192844173274165E-2</v>
      </c>
      <c r="O14" s="191">
        <f t="shared" ref="O14" si="14">O13/O7</f>
        <v>3.0521521641398718E-2</v>
      </c>
      <c r="P14" s="191"/>
      <c r="Q14" s="191"/>
    </row>
    <row r="15" spans="1:21" ht="15" x14ac:dyDescent="0.25">
      <c r="B15" s="80" t="s">
        <v>182</v>
      </c>
      <c r="C15" s="194">
        <f>126971.790482873*('2023 IR Data Book'!$A$5)</f>
        <v>34572.725176407177</v>
      </c>
      <c r="D15" s="194">
        <f>164433.595675243*('2023 IR Data Book'!$A$5)</f>
        <v>44773.075117149434</v>
      </c>
      <c r="E15" s="194">
        <f>113372.50878968*(('2023 IR Data Book'!$A$5))</f>
        <v>30869.822139541466</v>
      </c>
      <c r="F15" s="194">
        <f>97527.4515491813*(('2023 IR Data Book'!$A$5))</f>
        <v>26555.424372156322</v>
      </c>
      <c r="G15" s="194">
        <f>C15+D15+E15+F15</f>
        <v>136771.04680525442</v>
      </c>
      <c r="H15" s="194">
        <f>113734.680171326*(('2023 IR Data Book'!$A$5))</f>
        <v>30968.436576628548</v>
      </c>
      <c r="I15" s="194">
        <f>102064.863900749*((('2023 IR Data Book'!$A$5)))</f>
        <v>27790.901241831125</v>
      </c>
      <c r="J15" s="194">
        <f>(89569.4117087153-1863.82273672026-3665.89453247584)*(('2023 IR Data Book'!$A$5))</f>
        <v>22882.887992027227</v>
      </c>
      <c r="K15" s="194">
        <f>94595.8858675843*(('2023 IR Data Book'!$A$5))</f>
        <v>25757.19813417859</v>
      </c>
      <c r="L15" s="194">
        <f>SUM(H15:K15)</f>
        <v>107399.42394466548</v>
      </c>
      <c r="M15" s="194">
        <f>97445.6676906999*(('2023 IR Data Book'!$A$5))</f>
        <v>26533.155718210506</v>
      </c>
      <c r="N15" s="194">
        <f>91549.3736928258*((('2023 IR Data Book'!$A$5)))</f>
        <v>24927.673499108478</v>
      </c>
      <c r="O15" s="194">
        <f>85837.3159672989*(((('2023 IR Data Book'!$A$5))))</f>
        <v>23372.356359880981</v>
      </c>
      <c r="P15" s="194">
        <f>O15-J15</f>
        <v>489.4683678537549</v>
      </c>
      <c r="Q15" s="195">
        <f>P15/J15</f>
        <v>2.1390148307516677E-2</v>
      </c>
      <c r="S15" s="28"/>
      <c r="T15" s="28"/>
      <c r="U15" s="239"/>
    </row>
    <row r="16" spans="1:21" ht="15" x14ac:dyDescent="0.25">
      <c r="B16" s="70" t="s">
        <v>183</v>
      </c>
      <c r="C16" s="191">
        <f t="shared" ref="C16:I16" si="15">C15/C7</f>
        <v>0.12670035422161596</v>
      </c>
      <c r="D16" s="191">
        <f t="shared" si="15"/>
        <v>0.14937893592006357</v>
      </c>
      <c r="E16" s="191">
        <f t="shared" si="15"/>
        <v>0.10599011127476732</v>
      </c>
      <c r="F16" s="191">
        <f t="shared" ref="F16:G16" si="16">F15/F7</f>
        <v>8.8891323730337105E-2</v>
      </c>
      <c r="G16" s="191">
        <f t="shared" si="16"/>
        <v>0.11764336346524788</v>
      </c>
      <c r="H16" s="191">
        <f t="shared" si="15"/>
        <v>0.12156116661978032</v>
      </c>
      <c r="I16" s="191">
        <f t="shared" si="15"/>
        <v>0.1062150824154342</v>
      </c>
      <c r="J16" s="191">
        <f t="shared" ref="J16:L16" si="17">J15/J7</f>
        <v>9.7296633013803549E-2</v>
      </c>
      <c r="K16" s="191">
        <f t="shared" si="17"/>
        <v>9.5571643672761747E-2</v>
      </c>
      <c r="L16" s="191">
        <f t="shared" si="17"/>
        <v>0.10518043730634206</v>
      </c>
      <c r="M16" s="191">
        <f t="shared" ref="M16:N16" si="18">M15/M7</f>
        <v>0.1049797357141001</v>
      </c>
      <c r="N16" s="191">
        <f t="shared" si="18"/>
        <v>0.10033618906562355</v>
      </c>
      <c r="O16" s="191">
        <f t="shared" ref="O16" si="19">O15/O7</f>
        <v>9.9285794025709931E-2</v>
      </c>
      <c r="P16" s="191"/>
      <c r="Q16" s="191"/>
      <c r="S16" s="28"/>
    </row>
    <row r="18" spans="2:17" x14ac:dyDescent="0.2">
      <c r="B18" s="179" t="s">
        <v>184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</row>
    <row r="19" spans="2:17" x14ac:dyDescent="0.2">
      <c r="B19" s="78" t="s">
        <v>185</v>
      </c>
      <c r="C19" s="89">
        <v>25388838</v>
      </c>
      <c r="D19" s="89">
        <v>25800486</v>
      </c>
      <c r="E19" s="89">
        <v>27600108</v>
      </c>
      <c r="F19" s="89">
        <v>29436845</v>
      </c>
      <c r="G19" s="89">
        <f>C19+D19+E19+F19</f>
        <v>108226277</v>
      </c>
      <c r="H19" s="89">
        <f>'Historic Express Rev_Vol_ Data'!J27*1000000</f>
        <v>25008344</v>
      </c>
      <c r="I19" s="28">
        <v>24101160</v>
      </c>
      <c r="J19" s="28">
        <v>24481680</v>
      </c>
      <c r="K19" s="28">
        <v>26477337</v>
      </c>
      <c r="L19" s="28">
        <f>SUM(H19:K19)</f>
        <v>100068521</v>
      </c>
      <c r="M19" s="28">
        <v>24620104</v>
      </c>
      <c r="N19" s="28">
        <v>24232178</v>
      </c>
      <c r="O19" s="28">
        <v>24542273</v>
      </c>
    </row>
    <row r="20" spans="2:17" x14ac:dyDescent="0.2">
      <c r="B20" s="78" t="s">
        <v>186</v>
      </c>
      <c r="C20" s="89">
        <v>6203827</v>
      </c>
      <c r="D20" s="89">
        <v>7200104</v>
      </c>
      <c r="E20" s="89">
        <v>6300214</v>
      </c>
      <c r="F20" s="89">
        <v>6052494</v>
      </c>
      <c r="G20" s="89">
        <f>C20+D20+E20+F20</f>
        <v>25756639</v>
      </c>
      <c r="H20" s="89">
        <f>'Historic Express Rev_Vol_ Data'!J26*1000000</f>
        <v>5339769</v>
      </c>
      <c r="I20" s="28">
        <v>5930134</v>
      </c>
      <c r="J20" s="28">
        <v>5123776</v>
      </c>
      <c r="K20" s="28">
        <v>5811173</v>
      </c>
      <c r="L20" s="28">
        <f>SUM(H20:K20)</f>
        <v>22204852</v>
      </c>
      <c r="M20" s="28">
        <v>5393659</v>
      </c>
      <c r="N20" s="28">
        <v>5491225</v>
      </c>
      <c r="O20" s="28">
        <v>4852560</v>
      </c>
    </row>
    <row r="21" spans="2:17" ht="13.5" thickBot="1" x14ac:dyDescent="0.25">
      <c r="B21" s="90" t="s">
        <v>187</v>
      </c>
      <c r="C21" s="91">
        <f>SUM(C19:C20)</f>
        <v>31592665</v>
      </c>
      <c r="D21" s="91">
        <f t="shared" ref="D21:I21" si="20">SUM(D19:D20)</f>
        <v>33000590</v>
      </c>
      <c r="E21" s="91">
        <f t="shared" si="20"/>
        <v>33900322</v>
      </c>
      <c r="F21" s="91">
        <f t="shared" si="20"/>
        <v>35489339</v>
      </c>
      <c r="G21" s="91">
        <f t="shared" si="20"/>
        <v>133982916</v>
      </c>
      <c r="H21" s="91">
        <f t="shared" si="20"/>
        <v>30348113</v>
      </c>
      <c r="I21" s="91">
        <f t="shared" si="20"/>
        <v>30031294</v>
      </c>
      <c r="J21" s="91">
        <f t="shared" ref="J21:L21" si="21">SUM(J19:J20)</f>
        <v>29605456</v>
      </c>
      <c r="K21" s="91">
        <f t="shared" si="21"/>
        <v>32288510</v>
      </c>
      <c r="L21" s="91">
        <f t="shared" si="21"/>
        <v>122273373</v>
      </c>
      <c r="M21" s="91">
        <f t="shared" ref="M21:N21" si="22">SUM(M19:M20)</f>
        <v>30013763</v>
      </c>
      <c r="N21" s="91">
        <f t="shared" si="22"/>
        <v>29723403</v>
      </c>
      <c r="O21" s="91">
        <f t="shared" ref="O21" si="23">SUM(O19:O20)</f>
        <v>29394833</v>
      </c>
    </row>
    <row r="22" spans="2:17" ht="13.5" thickTop="1" x14ac:dyDescent="0.2"/>
    <row r="23" spans="2:17" x14ac:dyDescent="0.2">
      <c r="B23" s="179" t="s">
        <v>188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</row>
    <row r="24" spans="2:17" x14ac:dyDescent="0.2">
      <c r="B24" s="78" t="s">
        <v>189</v>
      </c>
      <c r="C24" s="133">
        <f t="shared" ref="C24:J24" si="24">C7*1000/C21</f>
        <v>8.637131315486597</v>
      </c>
      <c r="D24" s="133">
        <f t="shared" si="24"/>
        <v>9.0825094374279089</v>
      </c>
      <c r="E24" s="133">
        <f t="shared" si="24"/>
        <v>8.5914201055496981</v>
      </c>
      <c r="F24" s="133">
        <f t="shared" si="24"/>
        <v>8.4177488090551638</v>
      </c>
      <c r="G24" s="133">
        <f t="shared" ref="G24" si="25">G7*1000/G21</f>
        <v>8.6771541488444708</v>
      </c>
      <c r="H24" s="133">
        <f t="shared" si="24"/>
        <v>8.3944593230200066</v>
      </c>
      <c r="I24" s="133">
        <f t="shared" si="24"/>
        <v>8.7124920502724397</v>
      </c>
      <c r="J24" s="133">
        <f t="shared" si="24"/>
        <v>7.9440371869510411</v>
      </c>
      <c r="K24" s="133">
        <f t="shared" ref="K24:L24" si="26">K7*1000/K21</f>
        <v>8.3468298248143178</v>
      </c>
      <c r="L24" s="133">
        <f t="shared" si="26"/>
        <v>8.3509346880515629</v>
      </c>
      <c r="M24" s="133">
        <f t="shared" ref="M24:N24" si="27">M7*1000/M21</f>
        <v>8.4209867082733538</v>
      </c>
      <c r="N24" s="133">
        <f t="shared" si="27"/>
        <v>8.3584474438364236</v>
      </c>
      <c r="O24" s="133">
        <f t="shared" ref="O24" si="28">O7*1000/O21</f>
        <v>8.0083747719498586</v>
      </c>
      <c r="Q24" s="133"/>
    </row>
    <row r="25" spans="2:17" x14ac:dyDescent="0.2">
      <c r="B25" s="78" t="s">
        <v>190</v>
      </c>
      <c r="C25" s="133">
        <f t="shared" ref="C25:J25" si="29">C8*1000/C21</f>
        <v>6.1798256716593727</v>
      </c>
      <c r="D25" s="133">
        <f t="shared" si="29"/>
        <v>6.3984598602186153</v>
      </c>
      <c r="E25" s="133">
        <f t="shared" si="29"/>
        <v>6.0040113962159163</v>
      </c>
      <c r="F25" s="133">
        <f t="shared" si="29"/>
        <v>6.3500990539785205</v>
      </c>
      <c r="G25" s="133">
        <f t="shared" ref="G25" si="30">G8*1000/G21</f>
        <v>6.2342937088731416</v>
      </c>
      <c r="H25" s="133">
        <f t="shared" si="29"/>
        <v>5.9670676633511546</v>
      </c>
      <c r="I25" s="133">
        <f t="shared" si="29"/>
        <v>6.1489651224531201</v>
      </c>
      <c r="J25" s="133">
        <f t="shared" si="29"/>
        <v>5.7298888442058766</v>
      </c>
      <c r="K25" s="133">
        <f t="shared" ref="K25:L25" si="31">K8*1000/K21</f>
        <v>5.8878605364732781</v>
      </c>
      <c r="L25" s="133">
        <f t="shared" si="31"/>
        <v>5.9334000623889978</v>
      </c>
      <c r="M25" s="133">
        <f t="shared" ref="M25:N25" si="32">M8*1000/M21</f>
        <v>5.9585386055035139</v>
      </c>
      <c r="N25" s="133">
        <f t="shared" si="32"/>
        <v>5.9499638560388348</v>
      </c>
      <c r="O25" s="133">
        <f t="shared" ref="O25" si="33">O8*1000/O21</f>
        <v>5.6493058802336202</v>
      </c>
      <c r="Q25" s="133"/>
    </row>
    <row r="26" spans="2:17" x14ac:dyDescent="0.2">
      <c r="B26" s="58"/>
    </row>
    <row r="27" spans="2:17" x14ac:dyDescent="0.2">
      <c r="B27" s="58"/>
    </row>
  </sheetData>
  <pageMargins left="0.7" right="0.7" top="0.75" bottom="0.75" header="0.3" footer="0.3"/>
  <pageSetup orientation="portrait" horizontalDpi="1200" verticalDpi="1200" r:id="rId1"/>
  <ignoredErrors>
    <ignoredError sqref="G14 L1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612B-3673-4AD2-803F-FCCED2D1761C}">
  <dimension ref="A1:U21"/>
  <sheetViews>
    <sheetView showGridLines="0" workbookViewId="0">
      <pane xSplit="2" ySplit="5" topLeftCell="E6" activePane="bottomRight" state="frozen"/>
      <selection pane="topRight" activeCell="P28" sqref="P28"/>
      <selection pane="bottomLeft" activeCell="P28" sqref="P28"/>
      <selection pane="bottomRight" activeCell="A23" sqref="A23"/>
    </sheetView>
  </sheetViews>
  <sheetFormatPr defaultColWidth="9.140625" defaultRowHeight="12.75" x14ac:dyDescent="0.2"/>
  <cols>
    <col min="1" max="1" width="6.28515625" style="20" customWidth="1"/>
    <col min="2" max="2" width="42.28515625" style="20" customWidth="1"/>
    <col min="3" max="3" width="14.7109375" style="20" customWidth="1"/>
    <col min="4" max="4" width="14.140625" style="20" customWidth="1"/>
    <col min="5" max="5" width="14" style="20" customWidth="1"/>
    <col min="6" max="7" width="14.140625" style="20" customWidth="1"/>
    <col min="8" max="8" width="13.85546875" style="20" customWidth="1"/>
    <col min="9" max="12" width="12.7109375" style="20" customWidth="1"/>
    <col min="13" max="15" width="12.7109375" style="20" bestFit="1" customWidth="1"/>
    <col min="16" max="16" width="13.140625" style="20" customWidth="1"/>
    <col min="17" max="16384" width="9.140625" style="20"/>
  </cols>
  <sheetData>
    <row r="1" spans="1:21" x14ac:dyDescent="0.2">
      <c r="A1" s="163">
        <f>'2023 IR Data Book'!$A$5</f>
        <v>0.27228666339922669</v>
      </c>
    </row>
    <row r="2" spans="1:21" x14ac:dyDescent="0.2">
      <c r="A2" s="163"/>
    </row>
    <row r="3" spans="1:21" ht="15" x14ac:dyDescent="0.25">
      <c r="B3" s="70"/>
    </row>
    <row r="4" spans="1:21" ht="14.25" customHeight="1" x14ac:dyDescent="0.2">
      <c r="B4" s="72" t="s">
        <v>290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176" t="s">
        <v>19</v>
      </c>
      <c r="Q4" s="176"/>
    </row>
    <row r="5" spans="1:21" x14ac:dyDescent="0.2">
      <c r="B5" s="74"/>
      <c r="C5" s="203" t="s">
        <v>20</v>
      </c>
      <c r="D5" s="203" t="s">
        <v>21</v>
      </c>
      <c r="E5" s="203" t="s">
        <v>22</v>
      </c>
      <c r="F5" s="203" t="s">
        <v>23</v>
      </c>
      <c r="G5" s="203">
        <v>2021</v>
      </c>
      <c r="H5" s="203" t="s">
        <v>25</v>
      </c>
      <c r="I5" s="203" t="s">
        <v>26</v>
      </c>
      <c r="J5" s="203" t="s">
        <v>260</v>
      </c>
      <c r="K5" s="203" t="s">
        <v>279</v>
      </c>
      <c r="L5" s="203">
        <v>2022</v>
      </c>
      <c r="M5" s="203" t="s">
        <v>286</v>
      </c>
      <c r="N5" s="203" t="s">
        <v>300</v>
      </c>
      <c r="O5" s="203" t="s">
        <v>306</v>
      </c>
      <c r="P5" s="75" t="s">
        <v>307</v>
      </c>
      <c r="Q5" s="75" t="s">
        <v>27</v>
      </c>
    </row>
    <row r="6" spans="1:21" x14ac:dyDescent="0.2">
      <c r="B6" s="76"/>
      <c r="C6" s="76"/>
      <c r="D6" s="77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</row>
    <row r="7" spans="1:21" ht="15" x14ac:dyDescent="0.25">
      <c r="B7" s="181" t="s">
        <v>173</v>
      </c>
      <c r="C7" s="185">
        <f>646524.483858966*((('2023 IR Data Book'!$A$5)))</f>
        <v>176039.99451586505</v>
      </c>
      <c r="D7" s="185">
        <f>733555.714494972*((('2023 IR Data Book'!$A$5)))</f>
        <v>199737.43791727169</v>
      </c>
      <c r="E7" s="185">
        <f>608876.826084214*((('2023 IR Data Book'!$A$5)))</f>
        <v>165789.03939558187</v>
      </c>
      <c r="F7" s="185">
        <f>673196.558903118*((('2023 IR Data Book'!$A$5)))</f>
        <v>183302.44483557099</v>
      </c>
      <c r="G7" s="185">
        <f>C7+D7+E7+F7</f>
        <v>724868.91666428966</v>
      </c>
      <c r="H7" s="185">
        <f>558977.0652*((('2023 IR Data Book'!$A$5)))</f>
        <v>152201.99999999997</v>
      </c>
      <c r="I7" s="185">
        <f>588432.255458431*((('2023 IR Data Book'!$A$5)))</f>
        <v>160222.25547525755</v>
      </c>
      <c r="J7" s="185">
        <f>(496499.900127167-1231.05271916011-1342.02838895886)*((('2023 IR Data Book'!$A$5)))</f>
        <v>134489.68551409029</v>
      </c>
      <c r="K7" s="185">
        <f>607548.927429633*((('2023 IR Data Book'!$A$5)))</f>
        <v>165427.47030159368</v>
      </c>
      <c r="L7" s="185">
        <f>H7+I7+J7+K7</f>
        <v>612341.41129094153</v>
      </c>
      <c r="M7" s="185">
        <f>566580.920045477*((('2023 IR Data Book'!$A$5)))</f>
        <v>154272.42826484697</v>
      </c>
      <c r="N7" s="185">
        <f>561041.184136171*((('2023 IR Data Book'!$A$5)))</f>
        <v>152764.03205798916</v>
      </c>
      <c r="O7" s="185">
        <f>511950.953745064*(((('2023 IR Data Book'!$A$5))))</f>
        <v>139397.4170192953</v>
      </c>
      <c r="P7" s="186">
        <f>O7-J7</f>
        <v>4907.7315052050108</v>
      </c>
      <c r="Q7" s="187">
        <f>P7/J7</f>
        <v>3.6491508523089189E-2</v>
      </c>
      <c r="S7" s="239"/>
      <c r="T7" s="239"/>
      <c r="U7" s="239"/>
    </row>
    <row r="8" spans="1:21" ht="15" x14ac:dyDescent="0.25">
      <c r="B8" s="182" t="s">
        <v>176</v>
      </c>
      <c r="C8" s="188">
        <f>444124.447612567*((('2023 IR Data Book'!$A$5)))</f>
        <v>120929.16397445052</v>
      </c>
      <c r="D8" s="188">
        <f>498401.214070459*((('2023 IR Data Book'!$A$5)))</f>
        <v>135708.00361336899</v>
      </c>
      <c r="E8" s="188">
        <f>414055.145401605*((('2023 IR Data Book'!$A$5)))</f>
        <v>112741.69400468469</v>
      </c>
      <c r="F8" s="188">
        <f>488658.173014657*((('2023 IR Data Book'!$A$5)))</f>
        <v>133055.10347292299</v>
      </c>
      <c r="G8" s="188">
        <f>C8+D8+E8+F8</f>
        <v>502433.96506542718</v>
      </c>
      <c r="H8" s="188">
        <f>381194.278492367*((('2023 IR Data Book'!$A$5)))</f>
        <v>103794.11819756222</v>
      </c>
      <c r="I8" s="188">
        <f>398724.179629226*((('2023 IR Data Book'!$A$5)))</f>
        <v>108567.27648783586</v>
      </c>
      <c r="J8" s="188">
        <f>(342797.531928598-310.198076032919-399.469364759988)*((('2023 IR Data Book'!$A$5)))</f>
        <v>93145.963210751259</v>
      </c>
      <c r="K8" s="188">
        <f>413549.80810701*((('2023 IR Data Book'!$A$5)))</f>
        <v>112604.09739884821</v>
      </c>
      <c r="L8" s="188">
        <f>H8+I8+J8+K8</f>
        <v>418111.45529499755</v>
      </c>
      <c r="M8" s="188">
        <f>382785.441676797*((('2023 IR Data Book'!$A$5)))</f>
        <v>104227.37071197435</v>
      </c>
      <c r="N8" s="188">
        <f>372716.871459385*((('2023 IR Data Book'!$A$5)))</f>
        <v>101485.8333222744</v>
      </c>
      <c r="O8" s="188">
        <f>329440.75348802*(((('2023 IR Data Book'!$A$5))))</f>
        <v>89702.323554980117</v>
      </c>
      <c r="P8" s="189">
        <f>O8-J8</f>
        <v>-3443.6396557711414</v>
      </c>
      <c r="Q8" s="238">
        <f>P8/J8</f>
        <v>-3.6970358532656879E-2</v>
      </c>
      <c r="S8" s="239"/>
      <c r="T8" s="239"/>
      <c r="U8" s="239"/>
    </row>
    <row r="9" spans="1:21" ht="15" x14ac:dyDescent="0.25">
      <c r="B9" s="184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90"/>
    </row>
    <row r="10" spans="1:21" ht="15" x14ac:dyDescent="0.25">
      <c r="B10" s="181" t="s">
        <v>177</v>
      </c>
      <c r="C10" s="185">
        <f t="shared" ref="C10:E10" si="0">C7-C8</f>
        <v>55110.830541414529</v>
      </c>
      <c r="D10" s="185">
        <f t="shared" ref="D10" si="1">D7-D8</f>
        <v>64029.434303902701</v>
      </c>
      <c r="E10" s="185">
        <f t="shared" si="0"/>
        <v>53047.345390897186</v>
      </c>
      <c r="F10" s="185">
        <f t="shared" ref="F10:G10" si="2">F7-F8</f>
        <v>50247.341362648003</v>
      </c>
      <c r="G10" s="185">
        <f t="shared" si="2"/>
        <v>222434.95159886248</v>
      </c>
      <c r="H10" s="185">
        <f t="shared" ref="H10:I10" si="3">H7-H8</f>
        <v>48407.881802437754</v>
      </c>
      <c r="I10" s="185">
        <f t="shared" si="3"/>
        <v>51654.978987421695</v>
      </c>
      <c r="J10" s="185">
        <f t="shared" ref="J10:L10" si="4">J7-J8</f>
        <v>41343.722303339033</v>
      </c>
      <c r="K10" s="185">
        <f t="shared" si="4"/>
        <v>52823.372902745468</v>
      </c>
      <c r="L10" s="185">
        <f t="shared" si="4"/>
        <v>194229.95599594398</v>
      </c>
      <c r="M10" s="185">
        <f t="shared" ref="M10:N10" si="5">M7-M8</f>
        <v>50045.057552872619</v>
      </c>
      <c r="N10" s="185">
        <f t="shared" si="5"/>
        <v>51278.198735714759</v>
      </c>
      <c r="O10" s="185">
        <f t="shared" ref="O10" si="6">O7-O8</f>
        <v>49695.093464315185</v>
      </c>
      <c r="P10" s="186">
        <f>O10-J10</f>
        <v>8351.3711609761522</v>
      </c>
      <c r="Q10" s="187">
        <f>P10/J10</f>
        <v>0.20199853074916943</v>
      </c>
    </row>
    <row r="11" spans="1:21" ht="15" x14ac:dyDescent="0.25">
      <c r="B11" s="183" t="s">
        <v>178</v>
      </c>
      <c r="C11" s="191">
        <f t="shared" ref="C11:E11" si="7">C10/C7</f>
        <v>0.3130585790631108</v>
      </c>
      <c r="D11" s="191">
        <f t="shared" ref="D11" si="8">D10/D7</f>
        <v>0.32056801654992068</v>
      </c>
      <c r="E11" s="191">
        <f t="shared" si="7"/>
        <v>0.31996895322086566</v>
      </c>
      <c r="F11" s="191">
        <f t="shared" ref="F11:G11" si="9">F10/F7</f>
        <v>0.27412259235124609</v>
      </c>
      <c r="G11" s="191">
        <f t="shared" si="9"/>
        <v>0.30686231190939495</v>
      </c>
      <c r="H11" s="191">
        <f t="shared" ref="H11:I11" si="10">H10/H7</f>
        <v>0.31805023457272419</v>
      </c>
      <c r="I11" s="191">
        <f t="shared" si="10"/>
        <v>0.32239577975107558</v>
      </c>
      <c r="J11" s="191">
        <f t="shared" ref="J11:L11" si="11">J10/J7</f>
        <v>0.30741184459835408</v>
      </c>
      <c r="K11" s="191">
        <f t="shared" si="11"/>
        <v>0.31931439685586838</v>
      </c>
      <c r="L11" s="191">
        <f t="shared" si="11"/>
        <v>0.31719225976643867</v>
      </c>
      <c r="M11" s="191">
        <f t="shared" ref="M11:N11" si="12">M10/M7</f>
        <v>0.32439404834516405</v>
      </c>
      <c r="N11" s="191">
        <f t="shared" si="12"/>
        <v>0.33566931983210274</v>
      </c>
      <c r="O11" s="191">
        <f t="shared" ref="O11" si="13">O10/O7</f>
        <v>0.35649938518901264</v>
      </c>
      <c r="P11" s="191"/>
      <c r="Q11" s="191"/>
    </row>
    <row r="13" spans="1:21" x14ac:dyDescent="0.2">
      <c r="B13" s="179" t="s">
        <v>184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</row>
    <row r="14" spans="1:21" x14ac:dyDescent="0.2">
      <c r="B14" s="78"/>
      <c r="C14" s="89"/>
      <c r="D14" s="89"/>
      <c r="E14" s="89"/>
      <c r="F14" s="89"/>
      <c r="G14" s="89"/>
      <c r="H14" s="89"/>
      <c r="I14" s="28"/>
      <c r="J14" s="28"/>
      <c r="K14" s="28"/>
      <c r="L14" s="28"/>
      <c r="M14" s="28"/>
      <c r="N14" s="28"/>
      <c r="O14" s="28"/>
    </row>
    <row r="15" spans="1:21" x14ac:dyDescent="0.2">
      <c r="B15" s="78" t="s">
        <v>186</v>
      </c>
      <c r="C15" s="89">
        <v>6203827</v>
      </c>
      <c r="D15" s="89">
        <v>7200104</v>
      </c>
      <c r="E15" s="89">
        <v>6300214</v>
      </c>
      <c r="F15" s="89">
        <v>6052494</v>
      </c>
      <c r="G15" s="89">
        <f>C15+D15+E15+F15</f>
        <v>25756639</v>
      </c>
      <c r="H15" s="89">
        <f>'Historic Express Rev_Vol_ Data'!J26*1000000</f>
        <v>5339769</v>
      </c>
      <c r="I15" s="28">
        <v>5930134</v>
      </c>
      <c r="J15" s="28">
        <v>5123776</v>
      </c>
      <c r="K15" s="28">
        <v>5811173</v>
      </c>
      <c r="L15" s="28">
        <f>H15+I15+J15+K15</f>
        <v>22204852</v>
      </c>
      <c r="M15" s="28">
        <v>5393659</v>
      </c>
      <c r="N15" s="28">
        <v>5491225</v>
      </c>
      <c r="O15" s="28">
        <v>4852560</v>
      </c>
    </row>
    <row r="16" spans="1:21" ht="13.5" thickBot="1" x14ac:dyDescent="0.25">
      <c r="B16" s="90" t="s">
        <v>272</v>
      </c>
      <c r="C16" s="91">
        <f t="shared" ref="C16:J16" si="14">SUM(C14:C15)</f>
        <v>6203827</v>
      </c>
      <c r="D16" s="91">
        <f t="shared" si="14"/>
        <v>7200104</v>
      </c>
      <c r="E16" s="91">
        <f t="shared" si="14"/>
        <v>6300214</v>
      </c>
      <c r="F16" s="91">
        <f t="shared" si="14"/>
        <v>6052494</v>
      </c>
      <c r="G16" s="91">
        <f t="shared" si="14"/>
        <v>25756639</v>
      </c>
      <c r="H16" s="91">
        <f t="shared" si="14"/>
        <v>5339769</v>
      </c>
      <c r="I16" s="91">
        <f t="shared" si="14"/>
        <v>5930134</v>
      </c>
      <c r="J16" s="91">
        <f t="shared" si="14"/>
        <v>5123776</v>
      </c>
      <c r="K16" s="91">
        <f t="shared" ref="K16:L16" si="15">SUM(K14:K15)</f>
        <v>5811173</v>
      </c>
      <c r="L16" s="91">
        <f t="shared" si="15"/>
        <v>22204852</v>
      </c>
      <c r="M16" s="91">
        <f t="shared" ref="M16:N16" si="16">SUM(M14:M15)</f>
        <v>5393659</v>
      </c>
      <c r="N16" s="91">
        <f t="shared" si="16"/>
        <v>5491225</v>
      </c>
      <c r="O16" s="91">
        <f t="shared" ref="O16" si="17">SUM(O14:O15)</f>
        <v>4852560</v>
      </c>
    </row>
    <row r="17" spans="2:17" ht="13.5" thickTop="1" x14ac:dyDescent="0.2"/>
    <row r="18" spans="2:17" x14ac:dyDescent="0.2">
      <c r="B18" s="179" t="s">
        <v>188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</row>
    <row r="19" spans="2:17" x14ac:dyDescent="0.2">
      <c r="B19" s="78" t="s">
        <v>270</v>
      </c>
      <c r="C19" s="133">
        <f t="shared" ref="C19:J19" si="18">C7*1000/C16</f>
        <v>28.376032167864295</v>
      </c>
      <c r="D19" s="133">
        <f t="shared" si="18"/>
        <v>27.740910119808223</v>
      </c>
      <c r="E19" s="133">
        <f t="shared" si="18"/>
        <v>26.314826670265784</v>
      </c>
      <c r="F19" s="133">
        <f t="shared" si="18"/>
        <v>30.285440156664507</v>
      </c>
      <c r="G19" s="133">
        <f t="shared" ref="G19" si="19">G7*1000/G16</f>
        <v>28.142993216789261</v>
      </c>
      <c r="H19" s="133">
        <f t="shared" si="18"/>
        <v>28.503480206728039</v>
      </c>
      <c r="I19" s="133">
        <f t="shared" si="18"/>
        <v>27.018319564997611</v>
      </c>
      <c r="J19" s="133">
        <f t="shared" si="18"/>
        <v>26.248158684940616</v>
      </c>
      <c r="K19" s="133">
        <f t="shared" ref="K19:L19" si="20">K7*1000/K16</f>
        <v>28.467139130360376</v>
      </c>
      <c r="L19" s="133">
        <f t="shared" si="20"/>
        <v>27.576919282818974</v>
      </c>
      <c r="M19" s="133">
        <f t="shared" ref="M19:N19" si="21">M7*1000/M16</f>
        <v>28.6025550122555</v>
      </c>
      <c r="N19" s="133">
        <f t="shared" si="21"/>
        <v>27.819663564685321</v>
      </c>
      <c r="O19" s="133">
        <f t="shared" ref="O19" si="22">O7*1000/O16</f>
        <v>28.726572575979546</v>
      </c>
      <c r="P19" s="133"/>
      <c r="Q19" s="2"/>
    </row>
    <row r="20" spans="2:17" x14ac:dyDescent="0.2">
      <c r="B20" s="78" t="s">
        <v>271</v>
      </c>
      <c r="C20" s="133">
        <f t="shared" ref="C20:J20" si="23">C8*1000/C16</f>
        <v>19.492671857943577</v>
      </c>
      <c r="D20" s="133">
        <f t="shared" si="23"/>
        <v>18.848061585411681</v>
      </c>
      <c r="E20" s="133">
        <f t="shared" si="23"/>
        <v>17.894899126392325</v>
      </c>
      <c r="F20" s="133">
        <f t="shared" si="23"/>
        <v>21.983516790421103</v>
      </c>
      <c r="G20" s="133">
        <f t="shared" ref="G20" si="24">G8*1000/G16</f>
        <v>19.506969254234885</v>
      </c>
      <c r="H20" s="133">
        <f t="shared" si="23"/>
        <v>19.437941640839185</v>
      </c>
      <c r="I20" s="133">
        <f t="shared" si="23"/>
        <v>18.307727361276466</v>
      </c>
      <c r="J20" s="133">
        <f t="shared" si="23"/>
        <v>18.179163806292717</v>
      </c>
      <c r="K20" s="133">
        <f t="shared" ref="K20:L20" si="25">K8*1000/K16</f>
        <v>19.377171768737263</v>
      </c>
      <c r="L20" s="133">
        <f t="shared" si="25"/>
        <v>18.829733938104951</v>
      </c>
      <c r="M20" s="133">
        <f t="shared" ref="M20:N20" si="26">M8*1000/M16</f>
        <v>19.324056398814673</v>
      </c>
      <c r="N20" s="133">
        <f t="shared" si="26"/>
        <v>18.481456017969471</v>
      </c>
      <c r="O20" s="133">
        <f t="shared" ref="O20" si="27">O8*1000/O16</f>
        <v>18.485567114055286</v>
      </c>
      <c r="Q20" s="2"/>
    </row>
    <row r="21" spans="2:17" x14ac:dyDescent="0.2">
      <c r="B21" s="78" t="s">
        <v>275</v>
      </c>
      <c r="C21" s="133">
        <f t="shared" ref="C21:J21" si="28">C10*1000/C16</f>
        <v>8.8833603099207199</v>
      </c>
      <c r="D21" s="133">
        <f t="shared" si="28"/>
        <v>8.8928485343965455</v>
      </c>
      <c r="E21" s="133">
        <f t="shared" si="28"/>
        <v>8.4199275438734595</v>
      </c>
      <c r="F21" s="133">
        <f t="shared" si="28"/>
        <v>8.301923366243404</v>
      </c>
      <c r="G21" s="133">
        <f t="shared" ref="G21" si="29">G10*1000/G16</f>
        <v>8.636023962554372</v>
      </c>
      <c r="H21" s="133">
        <f t="shared" si="28"/>
        <v>9.0655385658888523</v>
      </c>
      <c r="I21" s="133">
        <f t="shared" si="28"/>
        <v>8.710592203721145</v>
      </c>
      <c r="J21" s="133">
        <f t="shared" si="28"/>
        <v>8.0689948786479029</v>
      </c>
      <c r="K21" s="133">
        <f t="shared" ref="K21:L21" si="30">K10*1000/K16</f>
        <v>9.0899673616231134</v>
      </c>
      <c r="L21" s="133">
        <f t="shared" si="30"/>
        <v>8.7471853447140298</v>
      </c>
      <c r="M21" s="133">
        <f t="shared" ref="M21:N21" si="31">M10*1000/M16</f>
        <v>9.2784986134408243</v>
      </c>
      <c r="N21" s="133">
        <f t="shared" si="31"/>
        <v>9.3382075467158518</v>
      </c>
      <c r="O21" s="133">
        <f t="shared" ref="O21" si="32">O10*1000/O16</f>
        <v>10.24100546192426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5CB5-EFF0-4B5A-BFD5-0FFBD0D9E94D}">
  <dimension ref="A1:U27"/>
  <sheetViews>
    <sheetView showGridLines="0" workbookViewId="0">
      <pane xSplit="2" ySplit="5" topLeftCell="G6" activePane="bottomRight" state="frozen"/>
      <selection pane="topRight" activeCell="P28" sqref="P28"/>
      <selection pane="bottomLeft" activeCell="P28" sqref="P28"/>
      <selection pane="bottomRight" activeCell="A9" sqref="A9:XFD9"/>
    </sheetView>
  </sheetViews>
  <sheetFormatPr defaultColWidth="9.140625" defaultRowHeight="12.75" x14ac:dyDescent="0.2"/>
  <cols>
    <col min="1" max="1" width="6.28515625" style="20" customWidth="1"/>
    <col min="2" max="2" width="35.85546875" style="20" customWidth="1"/>
    <col min="3" max="3" width="14.7109375" style="20" customWidth="1"/>
    <col min="4" max="4" width="14.140625" style="20" customWidth="1"/>
    <col min="5" max="5" width="14" style="20" customWidth="1"/>
    <col min="6" max="7" width="14.140625" style="20" customWidth="1"/>
    <col min="8" max="8" width="13.85546875" style="20" customWidth="1"/>
    <col min="9" max="11" width="12.7109375" style="20" bestFit="1" customWidth="1"/>
    <col min="12" max="12" width="12.7109375" style="20" customWidth="1"/>
    <col min="13" max="15" width="12.7109375" style="20" bestFit="1" customWidth="1"/>
    <col min="16" max="16" width="13.140625" style="20" customWidth="1"/>
    <col min="17" max="16384" width="9.140625" style="20"/>
  </cols>
  <sheetData>
    <row r="1" spans="1:21" x14ac:dyDescent="0.2">
      <c r="A1" s="163">
        <f>'2023 IR Data Book'!$A$5</f>
        <v>0.27228666339922669</v>
      </c>
    </row>
    <row r="2" spans="1:21" x14ac:dyDescent="0.2">
      <c r="A2" s="163"/>
    </row>
    <row r="3" spans="1:21" ht="15" x14ac:dyDescent="0.25">
      <c r="B3" s="70"/>
    </row>
    <row r="4" spans="1:21" ht="14.25" customHeight="1" x14ac:dyDescent="0.2">
      <c r="B4" s="72" t="s">
        <v>290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176" t="s">
        <v>19</v>
      </c>
      <c r="Q4" s="176"/>
    </row>
    <row r="5" spans="1:21" x14ac:dyDescent="0.2">
      <c r="B5" s="74"/>
      <c r="C5" s="203" t="s">
        <v>20</v>
      </c>
      <c r="D5" s="203" t="s">
        <v>21</v>
      </c>
      <c r="E5" s="203" t="s">
        <v>22</v>
      </c>
      <c r="F5" s="203" t="s">
        <v>23</v>
      </c>
      <c r="G5" s="203">
        <v>2021</v>
      </c>
      <c r="H5" s="203" t="s">
        <v>25</v>
      </c>
      <c r="I5" s="203" t="s">
        <v>26</v>
      </c>
      <c r="J5" s="203" t="s">
        <v>260</v>
      </c>
      <c r="K5" s="203" t="s">
        <v>279</v>
      </c>
      <c r="L5" s="203">
        <v>2022</v>
      </c>
      <c r="M5" s="203" t="s">
        <v>286</v>
      </c>
      <c r="N5" s="203" t="s">
        <v>300</v>
      </c>
      <c r="O5" s="203" t="s">
        <v>306</v>
      </c>
      <c r="P5" s="75" t="s">
        <v>307</v>
      </c>
      <c r="Q5" s="75" t="s">
        <v>27</v>
      </c>
    </row>
    <row r="6" spans="1:21" x14ac:dyDescent="0.2">
      <c r="B6" s="76"/>
      <c r="C6" s="76"/>
      <c r="D6" s="77"/>
      <c r="E6" s="76"/>
      <c r="F6" s="76"/>
      <c r="G6" s="76"/>
      <c r="H6" s="76"/>
      <c r="I6" s="77"/>
      <c r="J6" s="77"/>
      <c r="K6" s="77"/>
      <c r="L6" s="77"/>
      <c r="M6" s="77"/>
      <c r="N6" s="77"/>
      <c r="O6" s="77"/>
      <c r="P6" s="77"/>
      <c r="Q6" s="77"/>
    </row>
    <row r="7" spans="1:21" ht="15" x14ac:dyDescent="0.25">
      <c r="B7" s="181" t="s">
        <v>173</v>
      </c>
      <c r="C7" s="185">
        <f>355617.86422929*(((('2023 IR Data Book'!$A$5))))</f>
        <v>96830.001696152583</v>
      </c>
      <c r="D7" s="185">
        <f>367225.963071906*(((('2023 IR Data Book'!$A$5))))</f>
        <v>99990.732198416925</v>
      </c>
      <c r="E7" s="185">
        <f>460774.931293178*(((('2023 IR Data Book'!$A$5))))</f>
        <v>125462.86861982736</v>
      </c>
      <c r="F7" s="185">
        <f>423957.217825905*(((('2023 IR Data Book'!$A$5))))</f>
        <v>115437.89626583483</v>
      </c>
      <c r="G7" s="185">
        <f>SUM(C7:F7)</f>
        <v>437721.49878023169</v>
      </c>
      <c r="H7" s="185">
        <f>376640.582563042*((('2023 IR Data Book'!$A$5)))</f>
        <v>102554.20752683167</v>
      </c>
      <c r="I7" s="185">
        <f>372494.023368405*((('2023 IR Data Book'!$A$5)))</f>
        <v>101425.15475913658</v>
      </c>
      <c r="J7" s="185">
        <f>(416535.445403061-23294.0574489905-23421.7676629592)*(((('2023 IR Data Book'!$A$5))))</f>
        <v>100696.95046863565</v>
      </c>
      <c r="K7" s="185">
        <f>382241.372625073*(((('2023 IR Data Book'!$A$5))))</f>
        <v>104079.22796522164</v>
      </c>
      <c r="L7" s="185">
        <f>SUM(H7:K7)</f>
        <v>408755.54071982554</v>
      </c>
      <c r="M7" s="185">
        <f>361652.200640611*((('2023 IR Data Book'!$A$5)))</f>
        <v>98473.071023419645</v>
      </c>
      <c r="N7" s="185">
        <f>351385.075475396*((('2023 IR Data Book'!$A$5)))</f>
        <v>95677.469769481017</v>
      </c>
      <c r="O7" s="185">
        <f>352596.858050362*(((('2023 IR Data Book'!$A$5))))</f>
        <v>96007.422003583823</v>
      </c>
      <c r="P7" s="186">
        <f>O7-J7</f>
        <v>-4689.5284650518297</v>
      </c>
      <c r="Q7" s="187">
        <f>P7/J7</f>
        <v>-4.657070986983354E-2</v>
      </c>
      <c r="S7" s="239"/>
      <c r="T7" s="239"/>
      <c r="U7" s="239"/>
    </row>
    <row r="8" spans="1:21" ht="15" x14ac:dyDescent="0.25">
      <c r="B8" s="182" t="s">
        <v>176</v>
      </c>
      <c r="C8" s="188">
        <f>272903.55434018*(((('2023 IR Data Book'!$A$5))))</f>
        <v>74307.998241077163</v>
      </c>
      <c r="D8" s="188">
        <f>277079.111766491*(((('2023 IR Data Book'!$A$5))))</f>
        <v>75444.94684051926</v>
      </c>
      <c r="E8" s="188">
        <f>333461.818852503*(((('2023 IR Data Book'!$A$5))))</f>
        <v>90797.206026385393</v>
      </c>
      <c r="F8" s="188">
        <f>338998.431841459*(((('2023 IR Data Book'!$A$5))))</f>
        <v>92304.751903681041</v>
      </c>
      <c r="G8" s="188">
        <f>SUM(C8:F8)</f>
        <v>332854.90301166289</v>
      </c>
      <c r="H8" s="188">
        <f>283874.078015839*((('2023 IR Data Book'!$A$5)))</f>
        <v>77295.125528464559</v>
      </c>
      <c r="I8" s="188">
        <f>279463.202311642*((('2023 IR Data Book'!$A$5)))</f>
        <v>76094.102900300059</v>
      </c>
      <c r="J8" s="188">
        <f>(300465.045166131-10873.2471289898-8674.60335571517)*(((('2023 IR Data Book'!$A$5))))</f>
        <v>76490.005631276494</v>
      </c>
      <c r="K8" s="188">
        <f>284649.073311516*(((('2023 IR Data Book'!$A$5))))</f>
        <v>77506.146411674563</v>
      </c>
      <c r="L8" s="188">
        <f>SUM(H8:K8)</f>
        <v>307385.3804717157</v>
      </c>
      <c r="M8" s="188">
        <f>274015.605019054*((('2023 IR Data Book'!$A$5)))</f>
        <v>74610.794809958621</v>
      </c>
      <c r="N8" s="188">
        <f>276794.093641297*((('2023 IR Data Book'!$A$5)))</f>
        <v>75367.340206201872</v>
      </c>
      <c r="O8" s="188">
        <f>280432.682259024*(((('2023 IR Data Book'!$A$5))))</f>
        <v>76358.079360405158</v>
      </c>
      <c r="P8" s="189">
        <f>O8-J8</f>
        <v>-131.92627087133587</v>
      </c>
      <c r="Q8" s="190">
        <f>P8/J8</f>
        <v>-1.7247517474020381E-3</v>
      </c>
      <c r="S8" s="239"/>
      <c r="T8" s="239"/>
      <c r="U8" s="239"/>
    </row>
    <row r="9" spans="1:21" ht="15" x14ac:dyDescent="0.25">
      <c r="B9" s="184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90"/>
    </row>
    <row r="10" spans="1:21" ht="15" x14ac:dyDescent="0.25">
      <c r="B10" s="181" t="s">
        <v>177</v>
      </c>
      <c r="C10" s="185">
        <f t="shared" ref="C10:L10" si="0">(C7-C8)</f>
        <v>22522.003455075421</v>
      </c>
      <c r="D10" s="185">
        <f t="shared" si="0"/>
        <v>24545.785357897665</v>
      </c>
      <c r="E10" s="185">
        <f t="shared" si="0"/>
        <v>34665.662593441972</v>
      </c>
      <c r="F10" s="185">
        <f t="shared" si="0"/>
        <v>23133.144362153791</v>
      </c>
      <c r="G10" s="185">
        <f t="shared" si="0"/>
        <v>104866.5957685688</v>
      </c>
      <c r="H10" s="185">
        <f t="shared" si="0"/>
        <v>25259.08199836711</v>
      </c>
      <c r="I10" s="185">
        <f t="shared" si="0"/>
        <v>25331.051858836523</v>
      </c>
      <c r="J10" s="185">
        <f t="shared" si="0"/>
        <v>24206.944837359159</v>
      </c>
      <c r="K10" s="185">
        <f t="shared" si="0"/>
        <v>26573.081553547076</v>
      </c>
      <c r="L10" s="185">
        <f t="shared" si="0"/>
        <v>101370.16024810984</v>
      </c>
      <c r="M10" s="185">
        <f t="shared" ref="M10:N10" si="1">(M7-M8)</f>
        <v>23862.276213461024</v>
      </c>
      <c r="N10" s="185">
        <f t="shared" si="1"/>
        <v>20310.129563279144</v>
      </c>
      <c r="O10" s="185">
        <f t="shared" ref="O10" si="2">(O7-O8)</f>
        <v>19649.342643178665</v>
      </c>
      <c r="P10" s="186">
        <f>O10-J10</f>
        <v>-4557.6021941804938</v>
      </c>
      <c r="Q10" s="187">
        <f>P10/J10</f>
        <v>-0.18827663816321988</v>
      </c>
    </row>
    <row r="11" spans="1:21" ht="15" x14ac:dyDescent="0.25">
      <c r="B11" s="183" t="s">
        <v>178</v>
      </c>
      <c r="C11" s="191">
        <f t="shared" ref="C11:E11" si="3">C10/C7</f>
        <v>0.23259323619293404</v>
      </c>
      <c r="D11" s="191">
        <f t="shared" si="3"/>
        <v>0.24548060423430201</v>
      </c>
      <c r="E11" s="191">
        <f t="shared" si="3"/>
        <v>0.27630216792256279</v>
      </c>
      <c r="F11" s="191">
        <f t="shared" ref="F11:G11" si="4">F10/F7</f>
        <v>0.20039471534444717</v>
      </c>
      <c r="G11" s="191">
        <f t="shared" si="4"/>
        <v>0.23957378392606557</v>
      </c>
      <c r="H11" s="191">
        <f t="shared" ref="H11:J11" si="5">H10/H7</f>
        <v>0.24629981165578677</v>
      </c>
      <c r="I11" s="191">
        <f t="shared" si="5"/>
        <v>0.24975117779206199</v>
      </c>
      <c r="J11" s="191">
        <f t="shared" si="5"/>
        <v>0.24039402111684563</v>
      </c>
      <c r="K11" s="191">
        <f t="shared" ref="K11:L11" si="6">K10/K7</f>
        <v>0.25531589802363391</v>
      </c>
      <c r="L11" s="191">
        <f t="shared" si="6"/>
        <v>0.24799703037565005</v>
      </c>
      <c r="M11" s="191">
        <f t="shared" ref="M11:N11" si="7">M10/M7</f>
        <v>0.24232286010239193</v>
      </c>
      <c r="N11" s="191">
        <f t="shared" si="7"/>
        <v>0.21227703462699243</v>
      </c>
      <c r="O11" s="191">
        <f t="shared" ref="O11" si="8">O10/O7</f>
        <v>0.20466482937584954</v>
      </c>
      <c r="P11" s="191"/>
      <c r="Q11" s="191"/>
    </row>
    <row r="13" spans="1:21" x14ac:dyDescent="0.2">
      <c r="B13" s="179" t="s">
        <v>184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</row>
    <row r="14" spans="1:21" x14ac:dyDescent="0.2">
      <c r="B14" s="78"/>
      <c r="C14" s="89"/>
      <c r="D14" s="89"/>
      <c r="E14" s="89"/>
      <c r="F14" s="89"/>
      <c r="G14" s="89"/>
      <c r="H14" s="89"/>
      <c r="I14" s="28"/>
      <c r="J14" s="28"/>
      <c r="K14" s="28"/>
      <c r="L14" s="28"/>
      <c r="M14" s="28"/>
      <c r="N14" s="28"/>
      <c r="O14" s="28"/>
    </row>
    <row r="15" spans="1:21" x14ac:dyDescent="0.2">
      <c r="B15" s="78" t="s">
        <v>185</v>
      </c>
      <c r="C15" s="89">
        <v>25388838</v>
      </c>
      <c r="D15" s="89">
        <v>25800486</v>
      </c>
      <c r="E15" s="89">
        <v>27600108</v>
      </c>
      <c r="F15" s="89">
        <v>29436845</v>
      </c>
      <c r="G15" s="89">
        <f>SUM(C15:F15)</f>
        <v>108226277</v>
      </c>
      <c r="H15" s="89">
        <v>25008344</v>
      </c>
      <c r="I15" s="28">
        <v>24101160</v>
      </c>
      <c r="J15" s="28">
        <v>24481680</v>
      </c>
      <c r="K15" s="28">
        <v>26477337</v>
      </c>
      <c r="L15" s="28">
        <f>SUM(H15:K15)</f>
        <v>100068521</v>
      </c>
      <c r="M15" s="28">
        <v>24620104</v>
      </c>
      <c r="N15" s="28">
        <v>24232178</v>
      </c>
      <c r="O15" s="28">
        <v>24542273</v>
      </c>
    </row>
    <row r="16" spans="1:21" ht="13.5" thickBot="1" x14ac:dyDescent="0.25">
      <c r="B16" s="90" t="s">
        <v>322</v>
      </c>
      <c r="C16" s="91">
        <f t="shared" ref="C16:J16" si="9">SUM(C14:C15)</f>
        <v>25388838</v>
      </c>
      <c r="D16" s="91">
        <f t="shared" si="9"/>
        <v>25800486</v>
      </c>
      <c r="E16" s="91">
        <f t="shared" si="9"/>
        <v>27600108</v>
      </c>
      <c r="F16" s="91">
        <f t="shared" si="9"/>
        <v>29436845</v>
      </c>
      <c r="G16" s="91">
        <f t="shared" si="9"/>
        <v>108226277</v>
      </c>
      <c r="H16" s="91">
        <f t="shared" si="9"/>
        <v>25008344</v>
      </c>
      <c r="I16" s="91">
        <f t="shared" si="9"/>
        <v>24101160</v>
      </c>
      <c r="J16" s="91">
        <f t="shared" si="9"/>
        <v>24481680</v>
      </c>
      <c r="K16" s="91">
        <f t="shared" ref="K16:L16" si="10">SUM(K14:K15)</f>
        <v>26477337</v>
      </c>
      <c r="L16" s="91">
        <f t="shared" si="10"/>
        <v>100068521</v>
      </c>
      <c r="M16" s="91">
        <f t="shared" ref="M16:N16" si="11">SUM(M14:M15)</f>
        <v>24620104</v>
      </c>
      <c r="N16" s="91">
        <f t="shared" si="11"/>
        <v>24232178</v>
      </c>
      <c r="O16" s="91">
        <f t="shared" ref="O16" si="12">SUM(O14:O15)</f>
        <v>24542273</v>
      </c>
    </row>
    <row r="17" spans="2:17" ht="13.5" thickTop="1" x14ac:dyDescent="0.2"/>
    <row r="18" spans="2:17" x14ac:dyDescent="0.2">
      <c r="B18" s="179" t="s">
        <v>188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</row>
    <row r="19" spans="2:17" x14ac:dyDescent="0.2">
      <c r="B19" s="78" t="s">
        <v>323</v>
      </c>
      <c r="C19" s="88">
        <f t="shared" ref="C19:J19" si="13">(C7*1000)/C15</f>
        <v>3.8138807965985912</v>
      </c>
      <c r="D19" s="88">
        <f t="shared" si="13"/>
        <v>3.8755367708351276</v>
      </c>
      <c r="E19" s="88">
        <f t="shared" si="13"/>
        <v>4.5457383217423413</v>
      </c>
      <c r="F19" s="88">
        <f t="shared" si="13"/>
        <v>3.9215444544357534</v>
      </c>
      <c r="G19" s="88">
        <f t="shared" ref="G19" si="14">(G7*1000)/G15</f>
        <v>4.0445029702004041</v>
      </c>
      <c r="H19" s="210">
        <f t="shared" si="13"/>
        <v>4.1007996181926991</v>
      </c>
      <c r="I19" s="210">
        <f t="shared" si="13"/>
        <v>4.2083100879433433</v>
      </c>
      <c r="J19" s="210">
        <f t="shared" si="13"/>
        <v>4.113155243783746</v>
      </c>
      <c r="K19" s="210">
        <f t="shared" ref="K19:L19" si="15">(K7*1000)/K15</f>
        <v>3.9308797544564866</v>
      </c>
      <c r="L19" s="210">
        <f t="shared" si="15"/>
        <v>4.0847564912029188</v>
      </c>
      <c r="M19" s="210">
        <f t="shared" ref="M19:N19" si="16">(M7*1000)/M15</f>
        <v>3.9997016675242172</v>
      </c>
      <c r="N19" s="210">
        <f t="shared" si="16"/>
        <v>3.948364433831784</v>
      </c>
      <c r="O19" s="210">
        <f t="shared" ref="O19" si="17">(O7*1000)/O15</f>
        <v>3.9119205463806805</v>
      </c>
      <c r="Q19" s="133"/>
    </row>
    <row r="20" spans="2:17" x14ac:dyDescent="0.2">
      <c r="B20" s="78" t="s">
        <v>324</v>
      </c>
      <c r="C20" s="133">
        <f t="shared" ref="C20:J20" si="18">C8*1000/C16</f>
        <v>2.92679791966364</v>
      </c>
      <c r="D20" s="133">
        <f t="shared" si="18"/>
        <v>2.9241676625982653</v>
      </c>
      <c r="E20" s="133">
        <f t="shared" si="18"/>
        <v>3.2897409686362602</v>
      </c>
      <c r="F20" s="133">
        <f t="shared" si="18"/>
        <v>3.135687669778505</v>
      </c>
      <c r="G20" s="133">
        <f t="shared" ref="G20" si="19">G8*1000/G16</f>
        <v>3.0755460895292823</v>
      </c>
      <c r="H20" s="133">
        <f t="shared" si="18"/>
        <v>3.0907734445937147</v>
      </c>
      <c r="I20" s="133">
        <f t="shared" si="18"/>
        <v>3.1572796869652771</v>
      </c>
      <c r="J20" s="133">
        <f t="shared" si="18"/>
        <v>3.1243773152527314</v>
      </c>
      <c r="K20" s="133">
        <f t="shared" ref="K20:L20" si="20">K8*1000/K16</f>
        <v>2.9272636599245065</v>
      </c>
      <c r="L20" s="133">
        <f t="shared" si="20"/>
        <v>3.0717490115769341</v>
      </c>
      <c r="M20" s="133">
        <f t="shared" ref="M20:N20" si="21">M8*1000/M16</f>
        <v>3.0304825198934426</v>
      </c>
      <c r="N20" s="133">
        <f t="shared" si="21"/>
        <v>3.1102173401912889</v>
      </c>
      <c r="O20" s="133">
        <f t="shared" ref="O20" si="22">O8*1000/O16</f>
        <v>3.1112879952237988</v>
      </c>
      <c r="Q20" s="133"/>
    </row>
    <row r="21" spans="2:17" x14ac:dyDescent="0.2">
      <c r="B21" s="78" t="s">
        <v>325</v>
      </c>
      <c r="C21" s="133">
        <f t="shared" ref="C21:J21" si="23">C10*1000/C16</f>
        <v>0.88708287693495147</v>
      </c>
      <c r="D21" s="133">
        <f t="shared" si="23"/>
        <v>0.95136910823686283</v>
      </c>
      <c r="E21" s="133">
        <f t="shared" si="23"/>
        <v>1.2559973531060811</v>
      </c>
      <c r="F21" s="133">
        <f t="shared" si="23"/>
        <v>0.78585678465724806</v>
      </c>
      <c r="G21" s="133">
        <f t="shared" ref="G21" si="24">G10*1000/G16</f>
        <v>0.96895688067112207</v>
      </c>
      <c r="H21" s="133">
        <f t="shared" si="23"/>
        <v>1.0100261735989839</v>
      </c>
      <c r="I21" s="133">
        <f t="shared" si="23"/>
        <v>1.051030400978066</v>
      </c>
      <c r="J21" s="133">
        <f t="shared" si="23"/>
        <v>0.98877792853101421</v>
      </c>
      <c r="K21" s="133">
        <f t="shared" ref="K21:L21" si="25">K10*1000/K16</f>
        <v>1.0036160945319794</v>
      </c>
      <c r="L21" s="133">
        <f t="shared" si="25"/>
        <v>1.0130074796259838</v>
      </c>
      <c r="M21" s="133">
        <f t="shared" ref="M21:N21" si="26">M10*1000/M16</f>
        <v>0.96921914763077455</v>
      </c>
      <c r="N21" s="133">
        <f t="shared" si="26"/>
        <v>0.83814709364049511</v>
      </c>
      <c r="O21" s="133">
        <f t="shared" ref="O21" si="27">O10*1000/O16</f>
        <v>0.80063255115688203</v>
      </c>
    </row>
    <row r="22" spans="2:17" x14ac:dyDescent="0.2">
      <c r="B22" s="58"/>
    </row>
    <row r="25" spans="2:17" x14ac:dyDescent="0.2"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</row>
    <row r="26" spans="2:17" x14ac:dyDescent="0.2">
      <c r="E26" s="147"/>
      <c r="F26" s="92"/>
      <c r="G26" s="92"/>
      <c r="H26" s="92"/>
      <c r="I26" s="92"/>
      <c r="J26" s="92"/>
      <c r="K26" s="92"/>
      <c r="L26" s="92"/>
      <c r="M26" s="92"/>
      <c r="N26" s="92"/>
      <c r="O26" s="92"/>
    </row>
    <row r="27" spans="2:17" ht="15" x14ac:dyDescent="0.25">
      <c r="B27" s="215"/>
      <c r="J27" s="92"/>
      <c r="K27" s="92"/>
      <c r="L27" s="92"/>
      <c r="M27" s="92"/>
      <c r="N27" s="92"/>
      <c r="O27" s="9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F27E-55D1-46E1-99AC-32222F2C0F51}">
  <dimension ref="A2:W24"/>
  <sheetViews>
    <sheetView showGridLines="0" workbookViewId="0">
      <pane xSplit="2" ySplit="6" topLeftCell="I14" activePane="bottomRight" state="frozen"/>
      <selection pane="topRight" activeCell="P28" sqref="P28"/>
      <selection pane="bottomLeft" activeCell="P28" sqref="P28"/>
      <selection pane="bottomRight" activeCell="J20" sqref="J20"/>
    </sheetView>
  </sheetViews>
  <sheetFormatPr defaultColWidth="9.140625" defaultRowHeight="15" x14ac:dyDescent="0.25"/>
  <cols>
    <col min="1" max="1" width="9.140625" style="20"/>
    <col min="2" max="2" width="25.5703125" style="70" bestFit="1" customWidth="1"/>
    <col min="3" max="3" width="13.28515625" style="20" bestFit="1" customWidth="1"/>
    <col min="4" max="5" width="12.7109375" style="20" customWidth="1"/>
    <col min="6" max="7" width="13.7109375" style="20" customWidth="1"/>
    <col min="8" max="8" width="12.7109375" style="20" customWidth="1"/>
    <col min="9" max="9" width="12.7109375" style="20" bestFit="1" customWidth="1"/>
    <col min="10" max="11" width="13.5703125" style="20" bestFit="1" customWidth="1"/>
    <col min="12" max="12" width="13.5703125" style="20" customWidth="1"/>
    <col min="13" max="15" width="13.5703125" style="20" bestFit="1" customWidth="1"/>
    <col min="16" max="16" width="12.85546875" style="20" bestFit="1" customWidth="1"/>
    <col min="17" max="21" width="9.140625" style="20"/>
    <col min="22" max="22" width="11" style="20" bestFit="1" customWidth="1"/>
    <col min="23" max="16384" width="9.140625" style="20"/>
  </cols>
  <sheetData>
    <row r="2" spans="1:23" x14ac:dyDescent="0.25">
      <c r="A2" s="163">
        <f>'2023 IR Data Book'!$A$5</f>
        <v>0.27228666339922669</v>
      </c>
    </row>
    <row r="3" spans="1:23" x14ac:dyDescent="0.25">
      <c r="A3" s="163"/>
    </row>
    <row r="4" spans="1:23" ht="12.75" x14ac:dyDescent="0.2">
      <c r="B4" s="72" t="s">
        <v>290</v>
      </c>
      <c r="C4" s="72"/>
      <c r="D4" s="73"/>
      <c r="E4" s="72"/>
      <c r="F4" s="72"/>
      <c r="G4" s="72"/>
      <c r="H4" s="72"/>
      <c r="I4" s="73"/>
      <c r="J4" s="73"/>
      <c r="K4" s="73"/>
      <c r="L4" s="73"/>
      <c r="M4" s="73"/>
      <c r="N4" s="73"/>
      <c r="O4" s="73"/>
      <c r="P4" s="263" t="s">
        <v>19</v>
      </c>
      <c r="Q4" s="263"/>
      <c r="S4" s="71"/>
    </row>
    <row r="5" spans="1:23" ht="12.75" x14ac:dyDescent="0.2">
      <c r="B5" s="134"/>
      <c r="C5" s="75" t="s">
        <v>20</v>
      </c>
      <c r="D5" s="75" t="s">
        <v>21</v>
      </c>
      <c r="E5" s="75" t="s">
        <v>22</v>
      </c>
      <c r="F5" s="75" t="s">
        <v>23</v>
      </c>
      <c r="G5" s="75">
        <v>2021</v>
      </c>
      <c r="H5" s="75" t="s">
        <v>25</v>
      </c>
      <c r="I5" s="75" t="s">
        <v>26</v>
      </c>
      <c r="J5" s="203" t="s">
        <v>260</v>
      </c>
      <c r="K5" s="203" t="s">
        <v>279</v>
      </c>
      <c r="L5" s="203">
        <v>2022</v>
      </c>
      <c r="M5" s="203" t="s">
        <v>286</v>
      </c>
      <c r="N5" s="203" t="s">
        <v>300</v>
      </c>
      <c r="O5" s="203" t="s">
        <v>306</v>
      </c>
      <c r="P5" s="203" t="str">
        <f>+'Aramex Courier'!P5</f>
        <v>Q3 23 vs Q3 22</v>
      </c>
      <c r="Q5" s="203" t="s">
        <v>27</v>
      </c>
    </row>
    <row r="6" spans="1:23" ht="12.75" x14ac:dyDescent="0.2">
      <c r="B6" s="76"/>
      <c r="C6" s="77"/>
      <c r="D6" s="77"/>
      <c r="E6" s="77"/>
      <c r="F6" s="77"/>
      <c r="G6" s="77"/>
    </row>
    <row r="7" spans="1:23" x14ac:dyDescent="0.25">
      <c r="B7" s="181" t="s">
        <v>173</v>
      </c>
      <c r="C7" s="185">
        <f>288280.575940776*('2023 IR Data Book'!$A$5)</f>
        <v>78494.956145721284</v>
      </c>
      <c r="D7" s="185">
        <f>328594.887287615*('2023 IR Data Book'!$A$5)</f>
        <v>89472.005469589654</v>
      </c>
      <c r="E7" s="185">
        <f>317999.956029371*('2023 IR Data Book'!$A$5)</f>
        <v>86587.146988338238</v>
      </c>
      <c r="F7" s="185">
        <f>390676.023992678*('2023 IR Data Book'!$A$5)</f>
        <v>106375.87104304251</v>
      </c>
      <c r="G7" s="185">
        <f>SUM(C7:F7)</f>
        <v>360929.9796466917</v>
      </c>
      <c r="H7" s="185">
        <f>391132.666929349*((('2023 IR Data Book'!$A$5)))</f>
        <v>106500.2088246335</v>
      </c>
      <c r="I7" s="185">
        <f>432410.059701346*(((('2023 IR Data Book'!$A$5))))</f>
        <v>117739.49237633991</v>
      </c>
      <c r="J7" s="185">
        <f>439529.933418189*(('2023 IR Data Book'!$A$5))</f>
        <v>119678.13903452294</v>
      </c>
      <c r="K7" s="185">
        <f>421302.904555653*(('2023 IR Data Book'!$A$5))</f>
        <v>114715.16216186162</v>
      </c>
      <c r="L7" s="185">
        <f>SUM(H7:K7)</f>
        <v>458633.00239735795</v>
      </c>
      <c r="M7" s="185">
        <f>385432.399304953*((('2023 IR Data Book'!$A$5)))</f>
        <v>104948.10197270407</v>
      </c>
      <c r="N7" s="185">
        <f>358609.429712727*(((('2023 IR Data Book'!$A$5))))</f>
        <v>97644.56507997794</v>
      </c>
      <c r="O7" s="185">
        <f>367911.179337307*(((('2023 IR Data Book'!$A$5))))</f>
        <v>100177.30744902983</v>
      </c>
      <c r="P7" s="186">
        <f>O7-J7</f>
        <v>-19500.831585493113</v>
      </c>
      <c r="Q7" s="187">
        <f>P7/J7</f>
        <v>-0.16294397408592565</v>
      </c>
      <c r="S7" s="239"/>
      <c r="T7" s="248"/>
      <c r="U7" s="239"/>
      <c r="V7" s="83"/>
      <c r="W7" s="83"/>
    </row>
    <row r="8" spans="1:23" x14ac:dyDescent="0.25">
      <c r="B8" s="182" t="s">
        <v>176</v>
      </c>
      <c r="C8" s="188">
        <f>251447.615478377*('2023 IR Data Book'!$A$5)</f>
        <v>68465.832238299015</v>
      </c>
      <c r="D8" s="188">
        <f>294641.538103587*('2023 IR Data Book'!$A$5)</f>
        <v>80226.961309041813</v>
      </c>
      <c r="E8" s="188">
        <f>279789.238512976*('2023 IR Data Book'!$A$5)</f>
        <v>76182.878209708637</v>
      </c>
      <c r="F8" s="188">
        <f>345797.662241694*('2023 IR Data Book'!$A$5)</f>
        <v>94156.091663043611</v>
      </c>
      <c r="G8" s="188">
        <f>SUM(C8:F8)</f>
        <v>319031.76342009311</v>
      </c>
      <c r="H8" s="188">
        <f>339079.397942397*((('2023 IR Data Book'!$A$5)))</f>
        <v>92326.797893153882</v>
      </c>
      <c r="I8" s="188">
        <f>374509.42866716*(((('2023 IR Data Book'!$A$5))))</f>
        <v>101973.92274333168</v>
      </c>
      <c r="J8" s="188">
        <f>((378656.481028786--91.1288848682041))*(('2023 IR Data Book'!$A$5))</f>
        <v>103127.92297382078</v>
      </c>
      <c r="K8" s="188">
        <f>359342.067699344*(('2023 IR Data Book'!$A$5))</f>
        <v>97844.052632833409</v>
      </c>
      <c r="L8" s="188">
        <f>SUM(H8:K8)</f>
        <v>395272.69624313974</v>
      </c>
      <c r="M8" s="188">
        <f>324281.391121137*((('2023 IR Data Book'!$A$5)))</f>
        <v>88297.497990834017</v>
      </c>
      <c r="N8" s="188">
        <f>302008.823645774*(((('2023 IR Data Book'!$A$5))))</f>
        <v>82232.974907633281</v>
      </c>
      <c r="O8" s="188">
        <f>309597.048058527*(((('2023 IR Data Book'!$A$5))))</f>
        <v>84299.147214106357</v>
      </c>
      <c r="P8" s="189">
        <f>O8-J8</f>
        <v>-18828.775759714423</v>
      </c>
      <c r="Q8" s="190">
        <f>P8/J8</f>
        <v>-0.18257689301562044</v>
      </c>
      <c r="S8" s="239"/>
      <c r="T8" s="248"/>
      <c r="U8" s="239"/>
    </row>
    <row r="9" spans="1:23" x14ac:dyDescent="0.25">
      <c r="B9" s="181" t="s">
        <v>177</v>
      </c>
      <c r="C9" s="185">
        <f>C7-C8</f>
        <v>10029.123907422269</v>
      </c>
      <c r="D9" s="185">
        <f t="shared" ref="D9:I9" si="0">D7-D8</f>
        <v>9245.0441605478409</v>
      </c>
      <c r="E9" s="185">
        <f t="shared" si="0"/>
        <v>10404.268778629601</v>
      </c>
      <c r="F9" s="185">
        <f t="shared" si="0"/>
        <v>12219.779379998901</v>
      </c>
      <c r="G9" s="185">
        <f t="shared" ref="G9" si="1">G7-G8</f>
        <v>41898.216226598597</v>
      </c>
      <c r="H9" s="185">
        <f t="shared" si="0"/>
        <v>14173.410931479622</v>
      </c>
      <c r="I9" s="185">
        <f t="shared" si="0"/>
        <v>15765.569633008228</v>
      </c>
      <c r="J9" s="185">
        <f t="shared" ref="J9:K9" si="2">J7-J8</f>
        <v>16550.216060702165</v>
      </c>
      <c r="K9" s="185">
        <f t="shared" si="2"/>
        <v>16871.10952902821</v>
      </c>
      <c r="L9" s="185">
        <f t="shared" ref="L9:M9" si="3">L7-L8</f>
        <v>63360.306154218211</v>
      </c>
      <c r="M9" s="185">
        <f t="shared" si="3"/>
        <v>16650.603981870052</v>
      </c>
      <c r="N9" s="185">
        <f t="shared" ref="N9:O9" si="4">N7-N8</f>
        <v>15411.590172344659</v>
      </c>
      <c r="O9" s="185">
        <f t="shared" si="4"/>
        <v>15878.160234923474</v>
      </c>
      <c r="P9" s="185">
        <f>O9-J9</f>
        <v>-672.05582577869063</v>
      </c>
      <c r="Q9" s="187">
        <f>P9/J9</f>
        <v>-4.0607072639641285E-2</v>
      </c>
      <c r="T9" s="249"/>
      <c r="V9" s="83"/>
      <c r="W9" s="83"/>
    </row>
    <row r="10" spans="1:23" x14ac:dyDescent="0.25">
      <c r="B10" s="183" t="s">
        <v>178</v>
      </c>
      <c r="C10" s="191">
        <f>C9/C7</f>
        <v>0.12776774967303361</v>
      </c>
      <c r="D10" s="191">
        <f t="shared" ref="D10:I10" si="5">D9/D7</f>
        <v>0.10332890284537222</v>
      </c>
      <c r="E10" s="191">
        <f t="shared" si="5"/>
        <v>0.12015950566001295</v>
      </c>
      <c r="F10" s="191">
        <f t="shared" si="5"/>
        <v>0.11487360112947469</v>
      </c>
      <c r="G10" s="191">
        <f t="shared" ref="G10" si="6">G9/G7</f>
        <v>0.1160840567126401</v>
      </c>
      <c r="H10" s="191">
        <f t="shared" si="5"/>
        <v>0.13308340976887653</v>
      </c>
      <c r="I10" s="191">
        <f t="shared" si="5"/>
        <v>0.13390213695346595</v>
      </c>
      <c r="J10" s="191">
        <f t="shared" ref="J10:K10" si="7">J9/J7</f>
        <v>0.13828938345981473</v>
      </c>
      <c r="K10" s="191">
        <f t="shared" si="7"/>
        <v>0.14706956962867115</v>
      </c>
      <c r="L10" s="191">
        <f t="shared" ref="L10:M10" si="8">L9/L7</f>
        <v>0.13815034204477739</v>
      </c>
      <c r="M10" s="191">
        <f t="shared" si="8"/>
        <v>0.15865559899502235</v>
      </c>
      <c r="N10" s="191">
        <f t="shared" ref="N10:O10" si="9">N9/N7</f>
        <v>0.15783356871651233</v>
      </c>
      <c r="O10" s="191">
        <f t="shared" si="9"/>
        <v>0.15850056903358353</v>
      </c>
      <c r="P10" s="191"/>
      <c r="Q10" s="191"/>
      <c r="T10" s="249"/>
      <c r="V10" s="83"/>
      <c r="W10" s="83"/>
    </row>
    <row r="11" spans="1:23" x14ac:dyDescent="0.25">
      <c r="B11" s="79" t="s">
        <v>179</v>
      </c>
      <c r="C11" s="192">
        <f>32732.6409250042*('2023 IR Data Book'!$A$5)</f>
        <v>8912.661581714372</v>
      </c>
      <c r="D11" s="192">
        <f>34550.7422333988*('2023 IR Data Book'!$A$5)</f>
        <v>9407.7063206989042</v>
      </c>
      <c r="E11" s="192">
        <f>33417.1568083944*('2023 IR Data Book'!$A$5)</f>
        <v>9099.046127646463</v>
      </c>
      <c r="F11" s="192">
        <f>40446.1853529885*('2023 IR Data Book'!$A$5)</f>
        <v>11012.956856991912</v>
      </c>
      <c r="G11" s="192">
        <f>SUM(C11:F11)</f>
        <v>38432.370887051649</v>
      </c>
      <c r="H11" s="192">
        <f>35550.2469212581*((('2023 IR Data Book'!$A$5)))</f>
        <v>9679.8581172079994</v>
      </c>
      <c r="I11" s="192">
        <f>39710.4127399845*(((('2023 IR Data Book'!$A$5))))</f>
        <v>10812.615787176523</v>
      </c>
      <c r="J11" s="192">
        <f>(38414.9799334238-4.39392664916194-4.76633426836378)*(('2023 IR Data Book'!$A$5))</f>
        <v>10457.392493739113</v>
      </c>
      <c r="K11" s="192">
        <f>41449.4234540712*(('2023 IR Data Book'!$A$5))</f>
        <v>11286.125212130697</v>
      </c>
      <c r="L11" s="192">
        <f>SUM(H11:K11)</f>
        <v>42235.991610254336</v>
      </c>
      <c r="M11" s="192">
        <f>38530.4366974136*((('2023 IR Data Book'!$A$5)))</f>
        <v>10491.324047653869</v>
      </c>
      <c r="N11" s="192">
        <f>39814.9087429615*(((('2023 IR Data Book'!$A$5))))</f>
        <v>10841.068655165687</v>
      </c>
      <c r="O11" s="192">
        <f>40106.3348701336*(((('2023 IR Data Book'!$A$5))))</f>
        <v>10920.420102960736</v>
      </c>
      <c r="P11" s="193">
        <f t="shared" ref="P11:P12" si="10">O11-J11</f>
        <v>463.0276092216227</v>
      </c>
      <c r="Q11" s="190">
        <f t="shared" ref="Q11:Q12" si="11">P11/J11</f>
        <v>4.427753950125133E-2</v>
      </c>
      <c r="S11" s="239"/>
      <c r="T11" s="248"/>
      <c r="U11" s="239"/>
      <c r="V11" s="83"/>
      <c r="W11" s="83"/>
    </row>
    <row r="12" spans="1:23" x14ac:dyDescent="0.25">
      <c r="B12" s="80" t="s">
        <v>180</v>
      </c>
      <c r="C12" s="194">
        <f>3822.92049566416*('2023 IR Data Book'!$A$5)</f>
        <v>1040.930266204912</v>
      </c>
      <c r="D12" s="194">
        <f>171.814102409621*('2023 IR Data Book'!$A$5)</f>
        <v>46.782688670048735</v>
      </c>
      <c r="E12" s="194">
        <f>5640.07082045135*('2023 IR Data Book'!$A$5)</f>
        <v>1535.7160650360372</v>
      </c>
      <c r="F12" s="194">
        <f>4136.80991535253*('2023 IR Data Book'!$A$5)</f>
        <v>1126.3981689681777</v>
      </c>
      <c r="G12" s="194">
        <f>SUM(C12:F12)</f>
        <v>3749.8271888791755</v>
      </c>
      <c r="H12" s="194">
        <f>14772.9469336429*((('2023 IR Data Book'!$A$5)))</f>
        <v>4022.4764291354622</v>
      </c>
      <c r="I12" s="194">
        <f>17186.7608977198*(((('2023 IR Data Book'!$A$5))))</f>
        <v>4679.7257794804218</v>
      </c>
      <c r="J12" s="194">
        <f>(23649.3192942625-86.7348680146739+4.7662891663199)*(('2023 IR Data Book'!$A$5))</f>
        <v>6417.0752914594959</v>
      </c>
      <c r="K12" s="194">
        <f>16338.8952264309*(('2023 IR Data Book'!$A$5))</f>
        <v>4448.8632648344219</v>
      </c>
      <c r="L12" s="194">
        <f>SUM(H12:K12)</f>
        <v>19568.1407649098</v>
      </c>
      <c r="M12" s="194">
        <f>20526.1305095385*((('2023 IR Data Book'!$A$5)))</f>
        <v>5588.9915889393069</v>
      </c>
      <c r="N12" s="194">
        <f>15543.7240725677*(((('2023 IR Data Book'!$A$5))))</f>
        <v>4232.3487645176983</v>
      </c>
      <c r="O12" s="194">
        <f>17185.2125450052*(((('2023 IR Data Book'!$A$5))))</f>
        <v>4679.3041836859993</v>
      </c>
      <c r="P12" s="194">
        <f t="shared" si="10"/>
        <v>-1737.7711077734966</v>
      </c>
      <c r="Q12" s="195">
        <f t="shared" si="11"/>
        <v>-0.2708042260445816</v>
      </c>
      <c r="S12" s="28"/>
      <c r="T12"/>
      <c r="U12" s="28"/>
    </row>
    <row r="13" spans="1:23" x14ac:dyDescent="0.25">
      <c r="B13" s="70" t="s">
        <v>181</v>
      </c>
      <c r="C13" s="191">
        <f>C12/C7</f>
        <v>1.3261110233280289E-2</v>
      </c>
      <c r="D13" s="191">
        <f>D12/D7</f>
        <v>5.2287515435148646E-4</v>
      </c>
      <c r="E13" s="191">
        <f t="shared" ref="E13:I13" si="12">E12/E7</f>
        <v>1.7736074214835501E-2</v>
      </c>
      <c r="F13" s="191">
        <f t="shared" si="12"/>
        <v>1.0588850252633016E-2</v>
      </c>
      <c r="G13" s="191">
        <f t="shared" si="12"/>
        <v>1.0389348073966641E-2</v>
      </c>
      <c r="H13" s="191">
        <f t="shared" si="12"/>
        <v>3.7769657670427621E-2</v>
      </c>
      <c r="I13" s="191">
        <f t="shared" si="12"/>
        <v>3.9746440935232247E-2</v>
      </c>
      <c r="J13" s="191">
        <f t="shared" ref="J13:L13" si="13">J12/J7</f>
        <v>5.3619444146005606E-2</v>
      </c>
      <c r="K13" s="191">
        <f t="shared" si="13"/>
        <v>3.8781824311568625E-2</v>
      </c>
      <c r="L13" s="191">
        <f t="shared" si="13"/>
        <v>4.2666229125735776E-2</v>
      </c>
      <c r="M13" s="191">
        <f t="shared" ref="M13:N13" si="14">M12/M7</f>
        <v>5.3254813416186854E-2</v>
      </c>
      <c r="N13" s="191">
        <f t="shared" si="14"/>
        <v>4.3344437665845503E-2</v>
      </c>
      <c r="O13" s="191">
        <f t="shared" ref="O13" si="15">O12/O7</f>
        <v>4.6710221135328751E-2</v>
      </c>
      <c r="P13" s="191"/>
      <c r="Q13" s="191"/>
      <c r="T13" s="248"/>
      <c r="V13" s="83"/>
      <c r="W13" s="83"/>
    </row>
    <row r="14" spans="1:23" x14ac:dyDescent="0.25">
      <c r="B14" s="80" t="s">
        <v>182</v>
      </c>
      <c r="C14" s="194">
        <f>11649.503469717*('2023 IR Data Book'!$A$5)</f>
        <v>3172.004430026956</v>
      </c>
      <c r="D14" s="194">
        <f>7725.88673752908*('2023 IR Data Book'!$A$5)</f>
        <v>2103.6559215621305</v>
      </c>
      <c r="E14" s="194">
        <f>12316.8417705766*('2023 IR Data Book'!$A$5)</f>
        <v>3353.7117493265259</v>
      </c>
      <c r="F14" s="194">
        <f>11482.2707390202*('2023 IR Data Book'!$A$5)</f>
        <v>3126.469187774383</v>
      </c>
      <c r="G14" s="194">
        <f>SUM(C14:F14)</f>
        <v>11755.841288689995</v>
      </c>
      <c r="H14" s="194">
        <f>21659.145108213*((('2023 IR Data Book'!$A$5)))</f>
        <v>5897.496353595001</v>
      </c>
      <c r="I14" s="194">
        <f>24717.5768034835*(((('2023 IR Data Book'!$A$5))))</f>
        <v>6730.2665151346446</v>
      </c>
      <c r="J14" s="194">
        <f>(31379.0339348859-87.8817914099559+3.53117222749762)*(('2023 IR Data Book'!$A$5))</f>
        <v>8521.1249021683379</v>
      </c>
      <c r="K14" s="194">
        <f>23447.4167367756*(('2023 IR Data Book'!$A$5))</f>
        <v>6384.4188685878125</v>
      </c>
      <c r="L14" s="194">
        <f>SUM(H14:K14)</f>
        <v>27533.306639485796</v>
      </c>
      <c r="M14" s="194">
        <f>27676.3100070397*((('2023 IR Data Book'!$A$5)))</f>
        <v>7535.8901070194688</v>
      </c>
      <c r="N14" s="194">
        <f>22324.5220980563*(((('2023 IR Data Book'!$A$5))))</f>
        <v>6078.6696340620538</v>
      </c>
      <c r="O14" s="194">
        <f>24013.728819716*(((('2023 IR Data Book'!$A$5))))</f>
        <v>6538.6180960943202</v>
      </c>
      <c r="P14" s="194">
        <f>O14-J14</f>
        <v>-1982.5068060740177</v>
      </c>
      <c r="Q14" s="195">
        <f>P14/J14</f>
        <v>-0.23265787426370629</v>
      </c>
      <c r="S14" s="28"/>
      <c r="T14" s="250"/>
      <c r="U14" s="28"/>
    </row>
    <row r="15" spans="1:23" x14ac:dyDescent="0.25">
      <c r="B15" s="70" t="s">
        <v>183</v>
      </c>
      <c r="C15" s="191">
        <f>C14/C7</f>
        <v>4.0410296225127075E-2</v>
      </c>
      <c r="D15" s="191">
        <f t="shared" ref="D15:I15" si="16">D14/D7</f>
        <v>2.3511889674554521E-2</v>
      </c>
      <c r="E15" s="191">
        <f t="shared" si="16"/>
        <v>3.873221218130922E-2</v>
      </c>
      <c r="F15" s="191">
        <f t="shared" si="16"/>
        <v>2.9390774027216477E-2</v>
      </c>
      <c r="G15" s="191">
        <f t="shared" si="16"/>
        <v>3.2570974847247629E-2</v>
      </c>
      <c r="H15" s="191">
        <f t="shared" si="16"/>
        <v>5.537544403603939E-2</v>
      </c>
      <c r="I15" s="191">
        <f t="shared" si="16"/>
        <v>5.7162353763358938E-2</v>
      </c>
      <c r="J15" s="191">
        <f t="shared" ref="J15:L15" si="17">J14/J7</f>
        <v>7.1200345952156657E-2</v>
      </c>
      <c r="K15" s="191">
        <f t="shared" si="17"/>
        <v>5.5654533788475839E-2</v>
      </c>
      <c r="L15" s="191">
        <f t="shared" si="17"/>
        <v>6.0033417777534986E-2</v>
      </c>
      <c r="M15" s="191">
        <f t="shared" ref="M15:N15" si="18">M14/M7</f>
        <v>7.1805873239894111E-2</v>
      </c>
      <c r="N15" s="191">
        <f t="shared" si="18"/>
        <v>6.2253025850268116E-2</v>
      </c>
      <c r="O15" s="191">
        <f t="shared" ref="O15" si="19">O14/O7</f>
        <v>6.5270451588261807E-2</v>
      </c>
      <c r="P15" s="191"/>
      <c r="Q15" s="191"/>
      <c r="T15" s="250"/>
    </row>
    <row r="16" spans="1:23" x14ac:dyDescent="0.25">
      <c r="T16"/>
    </row>
    <row r="17" spans="2:23" x14ac:dyDescent="0.25">
      <c r="B17" s="79" t="s">
        <v>184</v>
      </c>
      <c r="H17" s="28"/>
      <c r="T17" s="248"/>
      <c r="V17" s="83"/>
      <c r="W17" s="83"/>
    </row>
    <row r="18" spans="2:23" x14ac:dyDescent="0.25">
      <c r="B18" s="79"/>
      <c r="C18" s="75" t="s">
        <v>20</v>
      </c>
      <c r="D18" s="75" t="s">
        <v>21</v>
      </c>
      <c r="E18" s="75" t="s">
        <v>22</v>
      </c>
      <c r="F18" s="75" t="s">
        <v>23</v>
      </c>
      <c r="G18" s="203">
        <v>2021</v>
      </c>
      <c r="H18" s="75" t="s">
        <v>25</v>
      </c>
      <c r="I18" s="75" t="s">
        <v>26</v>
      </c>
      <c r="J18" s="203" t="s">
        <v>260</v>
      </c>
      <c r="K18" s="203" t="s">
        <v>279</v>
      </c>
      <c r="L18" s="203">
        <v>2022</v>
      </c>
      <c r="M18" s="203" t="s">
        <v>286</v>
      </c>
      <c r="N18" s="203" t="s">
        <v>300</v>
      </c>
      <c r="O18" s="203" t="s">
        <v>306</v>
      </c>
      <c r="T18" s="249"/>
    </row>
    <row r="19" spans="2:23" ht="12.75" x14ac:dyDescent="0.2">
      <c r="B19" s="224" t="s">
        <v>197</v>
      </c>
      <c r="C19" s="225">
        <v>5951</v>
      </c>
      <c r="D19" s="226">
        <v>5937</v>
      </c>
      <c r="E19" s="226">
        <v>6294</v>
      </c>
      <c r="F19" s="226">
        <v>7680</v>
      </c>
      <c r="G19" s="226">
        <f>SUM(C19:F19)</f>
        <v>25862</v>
      </c>
      <c r="H19" s="226">
        <v>7271</v>
      </c>
      <c r="I19" s="227">
        <v>6794</v>
      </c>
      <c r="J19" s="235">
        <v>7355</v>
      </c>
      <c r="K19" s="235">
        <v>7616</v>
      </c>
      <c r="L19" s="235">
        <f>SUM(H19:K19)</f>
        <v>29036</v>
      </c>
      <c r="M19" s="235">
        <v>6829</v>
      </c>
      <c r="N19" s="235">
        <v>6582</v>
      </c>
      <c r="O19" s="253">
        <v>7718</v>
      </c>
      <c r="P19" s="147">
        <f>O19-J19</f>
        <v>363</v>
      </c>
      <c r="Q19" s="2">
        <f t="shared" ref="Q19:Q23" si="20">P19/J19</f>
        <v>4.935418082936778E-2</v>
      </c>
      <c r="T19" s="251"/>
    </row>
    <row r="20" spans="2:23" ht="12.75" x14ac:dyDescent="0.2">
      <c r="B20" s="228" t="s">
        <v>198</v>
      </c>
      <c r="C20" s="229">
        <v>34763989.210000053</v>
      </c>
      <c r="D20" s="230">
        <v>37260459.126000009</v>
      </c>
      <c r="E20" s="230">
        <v>39762128.206000052</v>
      </c>
      <c r="F20" s="230">
        <v>40009071.34800002</v>
      </c>
      <c r="G20" s="230">
        <f t="shared" ref="G20:G23" si="21">SUM(C20:F20)</f>
        <v>151795647.89000013</v>
      </c>
      <c r="H20" s="230">
        <v>36921430</v>
      </c>
      <c r="I20" s="231">
        <v>39173304</v>
      </c>
      <c r="J20" s="236">
        <v>38523420</v>
      </c>
      <c r="K20" s="236">
        <v>38871375.280000068</v>
      </c>
      <c r="L20" s="236">
        <f t="shared" ref="L20:L23" si="22">SUM(H20:K20)</f>
        <v>153489529.28000006</v>
      </c>
      <c r="M20" s="236">
        <v>36357055.587000057</v>
      </c>
      <c r="N20" s="236">
        <v>38483702.320000142</v>
      </c>
      <c r="O20" s="236">
        <v>53409441.145700201</v>
      </c>
      <c r="P20" s="147">
        <f t="shared" ref="P20:P23" si="23">O20-J20</f>
        <v>14886021.145700201</v>
      </c>
      <c r="Q20" s="2">
        <f t="shared" si="20"/>
        <v>0.38641483922507924</v>
      </c>
      <c r="T20" s="252"/>
      <c r="V20" s="83"/>
      <c r="W20" s="83"/>
    </row>
    <row r="21" spans="2:23" ht="12.75" x14ac:dyDescent="0.2">
      <c r="B21" s="228" t="s">
        <v>199</v>
      </c>
      <c r="C21" s="230">
        <v>9007.6500000000015</v>
      </c>
      <c r="D21" s="230">
        <v>9298.0000000000018</v>
      </c>
      <c r="E21" s="230">
        <v>8662.9500000000007</v>
      </c>
      <c r="F21" s="230">
        <v>7814.7999999999993</v>
      </c>
      <c r="G21" s="230">
        <f t="shared" si="21"/>
        <v>34783.4</v>
      </c>
      <c r="H21" s="230">
        <v>8142</v>
      </c>
      <c r="I21" s="231">
        <v>6833</v>
      </c>
      <c r="J21" s="231">
        <v>7766</v>
      </c>
      <c r="K21" s="236">
        <v>8392.3499999999913</v>
      </c>
      <c r="L21" s="236">
        <f t="shared" si="22"/>
        <v>31133.349999999991</v>
      </c>
      <c r="M21" s="236">
        <v>7003.4999999999991</v>
      </c>
      <c r="N21" s="236">
        <v>8038.6</v>
      </c>
      <c r="O21" s="236">
        <v>8051.1000000000013</v>
      </c>
      <c r="P21" s="147">
        <f t="shared" si="23"/>
        <v>285.10000000000127</v>
      </c>
      <c r="Q21" s="2">
        <f t="shared" si="20"/>
        <v>3.6711305691475828E-2</v>
      </c>
      <c r="T21" s="250"/>
    </row>
    <row r="22" spans="2:23" ht="12.75" x14ac:dyDescent="0.2">
      <c r="B22" s="228" t="s">
        <v>200</v>
      </c>
      <c r="C22" s="230">
        <v>13124.366</v>
      </c>
      <c r="D22" s="230">
        <v>7500.2289999999994</v>
      </c>
      <c r="E22" s="230">
        <v>8441.005000000001</v>
      </c>
      <c r="F22" s="230">
        <v>9689.8050000000003</v>
      </c>
      <c r="G22" s="230">
        <f t="shared" si="21"/>
        <v>38755.404999999999</v>
      </c>
      <c r="H22" s="230">
        <v>5225</v>
      </c>
      <c r="I22" s="231">
        <v>4033</v>
      </c>
      <c r="J22" s="231">
        <v>4759</v>
      </c>
      <c r="K22" s="236">
        <v>4508.5740000000005</v>
      </c>
      <c r="L22" s="236">
        <f t="shared" si="22"/>
        <v>18525.574000000001</v>
      </c>
      <c r="M22" s="236">
        <v>6071.5969999999998</v>
      </c>
      <c r="N22" s="236">
        <v>5575.7790000000005</v>
      </c>
      <c r="O22" s="236">
        <v>5438.9129999999986</v>
      </c>
      <c r="P22" s="147">
        <f t="shared" si="23"/>
        <v>679.91299999999865</v>
      </c>
      <c r="Q22" s="2">
        <f t="shared" si="20"/>
        <v>0.14286888001680997</v>
      </c>
      <c r="T22"/>
    </row>
    <row r="23" spans="2:23" ht="12.75" x14ac:dyDescent="0.2">
      <c r="B23" s="232" t="s">
        <v>201</v>
      </c>
      <c r="C23" s="233">
        <v>11113174.231000002</v>
      </c>
      <c r="D23" s="233">
        <v>11376366.989000002</v>
      </c>
      <c r="E23" s="233">
        <v>12392469.461000001</v>
      </c>
      <c r="F23" s="233">
        <v>11950161.360000003</v>
      </c>
      <c r="G23" s="233">
        <f t="shared" si="21"/>
        <v>46832172.041000009</v>
      </c>
      <c r="H23" s="233">
        <v>12740840</v>
      </c>
      <c r="I23" s="234">
        <v>16432000</v>
      </c>
      <c r="J23" s="234">
        <v>11773193</v>
      </c>
      <c r="K23" s="237">
        <v>11579800.640000001</v>
      </c>
      <c r="L23" s="237">
        <f t="shared" si="22"/>
        <v>52525833.640000001</v>
      </c>
      <c r="M23" s="237">
        <v>11158985.635</v>
      </c>
      <c r="N23" s="237">
        <v>10813056.409</v>
      </c>
      <c r="O23" s="237">
        <v>10901705.693999998</v>
      </c>
      <c r="P23" s="147">
        <f t="shared" si="23"/>
        <v>-871487.30600000173</v>
      </c>
      <c r="Q23" s="2">
        <f t="shared" si="20"/>
        <v>-7.4023020432944717E-2</v>
      </c>
      <c r="T23"/>
    </row>
    <row r="24" spans="2:23" ht="12.75" x14ac:dyDescent="0.2">
      <c r="B24" s="161"/>
      <c r="T24" s="252"/>
      <c r="V24" s="83"/>
      <c r="W24" s="83"/>
    </row>
  </sheetData>
  <mergeCells count="1">
    <mergeCell ref="P4:Q4"/>
  </mergeCells>
  <pageMargins left="0.7" right="0.7" top="0.75" bottom="0.75" header="0.3" footer="0.3"/>
  <pageSetup orientation="portrait" horizontalDpi="1200" verticalDpi="1200" r:id="rId1"/>
  <ignoredErrors>
    <ignoredError sqref="G13 L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BF8119AA9641923D0AE9145F3CAD" ma:contentTypeVersion="9" ma:contentTypeDescription="Create a new document." ma:contentTypeScope="" ma:versionID="7a78356a9be954b633de71761fb39738">
  <xsd:schema xmlns:xsd="http://www.w3.org/2001/XMLSchema" xmlns:xs="http://www.w3.org/2001/XMLSchema" xmlns:p="http://schemas.microsoft.com/office/2006/metadata/properties" xmlns:ns1="http://schemas.microsoft.com/sharepoint/v3" xmlns:ns2="a81bb348-8ee9-4097-92ba-693a2f35bfaa" targetNamespace="http://schemas.microsoft.com/office/2006/metadata/properties" ma:root="true" ma:fieldsID="614773b181515c8a10f32413014b2258" ns1:_="" ns2:_="">
    <xsd:import namespace="http://schemas.microsoft.com/sharepoint/v3"/>
    <xsd:import namespace="a81bb348-8ee9-4097-92ba-693a2f35bf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bb348-8ee9-4097-92ba-693a2f35b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5BA8FC-D23C-4F93-A85B-8CB4C25C10C8}">
  <ds:schemaRefs>
    <ds:schemaRef ds:uri="http://schemas.microsoft.com/office/2006/documentManagement/types"/>
    <ds:schemaRef ds:uri="http://purl.org/dc/dcmitype/"/>
    <ds:schemaRef ds:uri="a81bb348-8ee9-4097-92ba-693a2f35bfaa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A2393E1-24B7-4AEF-9432-DD417C7CE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1bb348-8ee9-4097-92ba-693a2f35b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331388-BAE5-410E-8154-30D3AA1669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2023 IR Data Book</vt:lpstr>
      <vt:lpstr>Contents</vt:lpstr>
      <vt:lpstr>Group Profit &amp; Loss Stm</vt:lpstr>
      <vt:lpstr>Group Balance Sheet</vt:lpstr>
      <vt:lpstr>Group CF and CAPEX</vt:lpstr>
      <vt:lpstr>Aramex Courier</vt:lpstr>
      <vt:lpstr>Aramex Express+SNS</vt:lpstr>
      <vt:lpstr>Aramex Domestic</vt:lpstr>
      <vt:lpstr>Aramex Freight</vt:lpstr>
      <vt:lpstr>Aramex Logistics</vt:lpstr>
      <vt:lpstr>Regional Breakdown</vt:lpstr>
      <vt:lpstr>Historic_Product_Breakdown</vt:lpstr>
      <vt:lpstr>Historic Express Rev_Vol_ Data</vt:lpstr>
      <vt:lpstr>Key figures and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Usman Syed</dc:creator>
  <cp:keywords/>
  <dc:description/>
  <cp:lastModifiedBy>Anca Cighi</cp:lastModifiedBy>
  <cp:revision/>
  <dcterms:created xsi:type="dcterms:W3CDTF">2021-07-29T06:01:51Z</dcterms:created>
  <dcterms:modified xsi:type="dcterms:W3CDTF">2023-11-09T09:18:03Z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0x01010023BCBF8119AA9641923D0AE9145F3CAD</vt:lpwstr>
  </property>
  <property fmtid="{D5CDD505-2E9C-101B-9397-08002B2CF9AE}" pid="3" name="MSIP_Label_5c15bd85-9f84-4ab9-b6e1-ccb9127e3d2a_Enabled">
    <vt:lpwstr>true</vt:lpwstr>
  </property>
  <property fmtid="{D5CDD505-2E9C-101B-9397-08002B2CF9AE}" pid="4" name="MSIP_Label_5c15bd85-9f84-4ab9-b6e1-ccb9127e3d2a_SetDate">
    <vt:lpwstr>2022-01-14T10:55:21Z</vt:lpwstr>
  </property>
  <property fmtid="{D5CDD505-2E9C-101B-9397-08002B2CF9AE}" pid="5" name="MSIP_Label_5c15bd85-9f84-4ab9-b6e1-ccb9127e3d2a_Method">
    <vt:lpwstr>Privileged</vt:lpwstr>
  </property>
  <property fmtid="{D5CDD505-2E9C-101B-9397-08002B2CF9AE}" pid="6" name="MSIP_Label_5c15bd85-9f84-4ab9-b6e1-ccb9127e3d2a_Name">
    <vt:lpwstr>Internal Classification</vt:lpwstr>
  </property>
  <property fmtid="{D5CDD505-2E9C-101B-9397-08002B2CF9AE}" pid="7" name="MSIP_Label_5c15bd85-9f84-4ab9-b6e1-ccb9127e3d2a_SiteId">
    <vt:lpwstr>43aa4ce1-f125-4390-a30c-5375aae87717</vt:lpwstr>
  </property>
  <property fmtid="{D5CDD505-2E9C-101B-9397-08002B2CF9AE}" pid="8" name="MSIP_Label_5c15bd85-9f84-4ab9-b6e1-ccb9127e3d2a_ActionId">
    <vt:lpwstr>d254e9e8-ade7-4e39-9d22-6a4a2f08937a</vt:lpwstr>
  </property>
  <property fmtid="{D5CDD505-2E9C-101B-9397-08002B2CF9AE}" pid="9" name="MSIP_Label_5c15bd85-9f84-4ab9-b6e1-ccb9127e3d2a_ContentBits">
    <vt:lpwstr>0</vt:lpwstr>
  </property>
</Properties>
</file>