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amex.sharepoint.com/sites/Finance/docs/presentations/Investors Presentation/2025/Q4/"/>
    </mc:Choice>
  </mc:AlternateContent>
  <xr:revisionPtr revIDLastSave="3945" documentId="13_ncr:1_{000DCF51-9915-4FBE-B7A6-1F19B77D1552}" xr6:coauthVersionLast="47" xr6:coauthVersionMax="47" xr10:uidLastSave="{DCDB7318-0BEB-432E-A00D-B6250605DB42}"/>
  <bookViews>
    <workbookView xWindow="-120" yWindow="-120" windowWidth="29040" windowHeight="15720" tabRatio="914" xr2:uid="{57DDC26A-0058-42D3-AF50-F9A5729AB588}"/>
  </bookViews>
  <sheets>
    <sheet name="2025 IR Data Book" sheetId="5" r:id="rId1"/>
    <sheet name="Contents" sheetId="20" r:id="rId2"/>
    <sheet name="Group Profit &amp; Loss Stm" sheetId="11" r:id="rId3"/>
    <sheet name="Group Balance Sheet" sheetId="10" r:id="rId4"/>
    <sheet name="Group CF and CAPEX" sheetId="12" r:id="rId5"/>
    <sheet name="Aramex Courier" sheetId="13" r:id="rId6"/>
    <sheet name="Aramex Express+Parcel Forwardin" sheetId="24" r:id="rId7"/>
    <sheet name="Aramex Domestic" sheetId="25" r:id="rId8"/>
    <sheet name="Aramex Freight" sheetId="14" r:id="rId9"/>
    <sheet name="Aramex Logistics" sheetId="15" r:id="rId10"/>
    <sheet name="Regional Breakdown" sheetId="9" r:id="rId11"/>
    <sheet name="Historic_Product_Breakdown" sheetId="7" r:id="rId12"/>
    <sheet name="Historic Express Rev_Vol_ Data" sheetId="6" r:id="rId13"/>
    <sheet name="Key figures and ratios" sheetId="2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bd" localSheetId="7">'[1]SCHEDULE 3'!#REF!</definedName>
    <definedName name="bd" localSheetId="6">'[1]SCHEDULE 3'!#REF!</definedName>
    <definedName name="bd">'[1]SCHEDULE 3'!#REF!</definedName>
    <definedName name="code">[2]Index!$C$30</definedName>
    <definedName name="Currency" localSheetId="7">'[3]Act''21 vs Act''20-Month'!#REF!</definedName>
    <definedName name="Currency" localSheetId="6">'[3]Act''21 vs Act''20-Month'!#REF!</definedName>
    <definedName name="Currency" localSheetId="12">'[3]Act''21 vs Act''20-Month'!#REF!</definedName>
    <definedName name="Currency" localSheetId="13">'[3]Act''21 vs Act''20-Month'!#REF!</definedName>
    <definedName name="Currency">'[3]Act''21 vs Act''20-Month'!#REF!</definedName>
    <definedName name="Currency1">'[4]Act''22 vs Act''21-Month'!#REF!</definedName>
    <definedName name="entity">[2]Index!$B$33</definedName>
    <definedName name="index">[2]Index!$B$36</definedName>
    <definedName name="MM">[5]XRates!$B$2</definedName>
    <definedName name="USD">[6]XRates!$B$1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6" l="1"/>
  <c r="M46" i="6"/>
  <c r="M45" i="6" s="1"/>
  <c r="AA14" i="25" l="1"/>
  <c r="AA15" i="25" s="1"/>
  <c r="Z14" i="25"/>
  <c r="Z15" i="25" s="1"/>
  <c r="AA15" i="24"/>
  <c r="Z15" i="24"/>
  <c r="Z16" i="24" s="1"/>
  <c r="AA16" i="24"/>
  <c r="Z21" i="13" l="1"/>
  <c r="V55" i="12" l="1"/>
  <c r="AA21" i="13" l="1"/>
  <c r="U5" i="22" l="1"/>
  <c r="U55" i="12" l="1"/>
  <c r="L47" i="6" l="1"/>
  <c r="L46" i="6"/>
  <c r="L45" i="6" l="1"/>
  <c r="Y14" i="25" l="1"/>
  <c r="Y15" i="25" s="1"/>
  <c r="Y15" i="24"/>
  <c r="Y16" i="24" s="1"/>
  <c r="Y21" i="13"/>
  <c r="T5" i="22" l="1"/>
  <c r="L126" i="9"/>
  <c r="L129" i="9" s="1"/>
  <c r="N109" i="9"/>
  <c r="L109" i="9"/>
  <c r="N91" i="9"/>
  <c r="L91" i="9"/>
  <c r="N82" i="9"/>
  <c r="L82" i="9"/>
  <c r="N70" i="9"/>
  <c r="L70" i="9"/>
  <c r="N61" i="9"/>
  <c r="L61" i="9"/>
  <c r="N49" i="9"/>
  <c r="L49" i="9"/>
  <c r="N40" i="9"/>
  <c r="L40" i="9"/>
  <c r="N28" i="9"/>
  <c r="L28" i="9"/>
  <c r="N19" i="9"/>
  <c r="L19" i="9"/>
  <c r="T55" i="12" l="1"/>
  <c r="T19" i="12"/>
  <c r="K106" i="9" l="1"/>
  <c r="K88" i="9"/>
  <c r="K67" i="9"/>
  <c r="K46" i="9"/>
  <c r="K169" i="9"/>
  <c r="K163" i="9"/>
  <c r="K155" i="9"/>
  <c r="K150" i="9"/>
  <c r="K25" i="9"/>
  <c r="N126" i="9"/>
  <c r="N129" i="9" s="1"/>
  <c r="N125" i="9"/>
  <c r="N128" i="9" s="1"/>
  <c r="L125" i="9"/>
  <c r="L128" i="9" s="1"/>
  <c r="N85" i="9"/>
  <c r="L85" i="9"/>
  <c r="Q84" i="9"/>
  <c r="P84" i="9"/>
  <c r="L154" i="9" s="1"/>
  <c r="M154" i="9" s="1"/>
  <c r="Q83" i="9"/>
  <c r="P83" i="9"/>
  <c r="L144" i="9" s="1"/>
  <c r="M144" i="9" s="1"/>
  <c r="N64" i="9"/>
  <c r="L64" i="9"/>
  <c r="Q63" i="9"/>
  <c r="P63" i="9"/>
  <c r="L153" i="9" s="1"/>
  <c r="M153" i="9" s="1"/>
  <c r="Q62" i="9"/>
  <c r="P62" i="9"/>
  <c r="L143" i="9" s="1"/>
  <c r="M143" i="9" s="1"/>
  <c r="N43" i="9"/>
  <c r="L43" i="9"/>
  <c r="Q42" i="9"/>
  <c r="P42" i="9"/>
  <c r="L152" i="9" s="1"/>
  <c r="M152" i="9" s="1"/>
  <c r="Q41" i="9"/>
  <c r="P41" i="9"/>
  <c r="L142" i="9" s="1"/>
  <c r="M142" i="9" s="1"/>
  <c r="N22" i="9"/>
  <c r="L22" i="9"/>
  <c r="Q21" i="9"/>
  <c r="P21" i="9"/>
  <c r="L151" i="9" s="1"/>
  <c r="M151" i="9" s="1"/>
  <c r="Q20" i="9"/>
  <c r="P20" i="9"/>
  <c r="L141" i="9" s="1"/>
  <c r="M141" i="9" s="1"/>
  <c r="L150" i="9" l="1"/>
  <c r="M150" i="9" s="1"/>
  <c r="Q22" i="9"/>
  <c r="Q43" i="9"/>
  <c r="Q64" i="9"/>
  <c r="Q85" i="9"/>
  <c r="L140" i="9"/>
  <c r="M140" i="9" s="1"/>
  <c r="P22" i="9"/>
  <c r="P43" i="9"/>
  <c r="P64" i="9"/>
  <c r="P85" i="9"/>
  <c r="K47" i="6"/>
  <c r="K46" i="6"/>
  <c r="X14" i="25"/>
  <c r="X15" i="25" s="1"/>
  <c r="X15" i="24"/>
  <c r="X16" i="24" s="1"/>
  <c r="X21" i="13"/>
  <c r="L155" i="9" l="1"/>
  <c r="L156" i="9" s="1"/>
  <c r="K45" i="6"/>
  <c r="L145" i="9"/>
  <c r="M145" i="9" s="1"/>
  <c r="M155" i="9" l="1"/>
  <c r="L146" i="9"/>
  <c r="H84" i="9"/>
  <c r="S5" i="22" l="1"/>
  <c r="J46" i="6"/>
  <c r="S55" i="12" l="1"/>
  <c r="S19" i="12"/>
  <c r="J47" i="6" l="1"/>
  <c r="J45" i="6" s="1"/>
  <c r="N44" i="6"/>
  <c r="M44" i="6"/>
  <c r="L44" i="6"/>
  <c r="K44" i="6"/>
  <c r="J44" i="6"/>
  <c r="W14" i="25"/>
  <c r="W15" i="25" s="1"/>
  <c r="W15" i="24"/>
  <c r="W21" i="13"/>
  <c r="W16" i="24" l="1"/>
  <c r="AB16" i="24" s="1"/>
  <c r="AB15" i="24"/>
  <c r="N47" i="6"/>
  <c r="N46" i="6"/>
  <c r="N45" i="6" l="1"/>
  <c r="M37" i="6" l="1"/>
  <c r="M36" i="6"/>
  <c r="E126" i="9" l="1"/>
  <c r="E129" i="9" s="1"/>
  <c r="C126" i="9"/>
  <c r="C129" i="9" s="1"/>
  <c r="C125" i="9"/>
  <c r="C128" i="9" s="1"/>
  <c r="V14" i="25"/>
  <c r="U14" i="25"/>
  <c r="V15" i="24"/>
  <c r="U15" i="24"/>
  <c r="E125" i="9" l="1"/>
  <c r="C140" i="9" l="1"/>
  <c r="E128" i="9"/>
  <c r="R5" i="22"/>
  <c r="U15" i="25" l="1"/>
  <c r="V15" i="25"/>
  <c r="U16" i="24"/>
  <c r="V16" i="24"/>
  <c r="V21" i="13"/>
  <c r="U21" i="13"/>
  <c r="L37" i="6" l="1"/>
  <c r="K37" i="6"/>
  <c r="L36" i="6"/>
  <c r="K36" i="6"/>
  <c r="Q5" i="22" l="1"/>
  <c r="T14" i="25" l="1"/>
  <c r="T15" i="24"/>
  <c r="T16" i="24" s="1"/>
  <c r="T21" i="13"/>
  <c r="T15" i="25" l="1"/>
  <c r="S14" i="25" l="1"/>
  <c r="S15" i="24"/>
  <c r="B25" i="9" l="1"/>
  <c r="S15" i="25" l="1"/>
  <c r="S16" i="24"/>
  <c r="S21" i="13"/>
  <c r="J37" i="6" l="1"/>
  <c r="J36" i="6"/>
  <c r="N37" i="6" l="1"/>
  <c r="M35" i="6"/>
  <c r="K35" i="6"/>
  <c r="J35" i="6"/>
  <c r="L35" i="6"/>
  <c r="N34" i="6"/>
  <c r="M34" i="6"/>
  <c r="L34" i="6"/>
  <c r="K34" i="6"/>
  <c r="J34" i="6"/>
  <c r="R15" i="25"/>
  <c r="R16" i="24"/>
  <c r="R21" i="13"/>
  <c r="N36" i="6" l="1"/>
  <c r="N35" i="6" l="1"/>
  <c r="M32" i="6"/>
  <c r="M31" i="6"/>
  <c r="M30" i="6" l="1"/>
  <c r="B169" i="9"/>
  <c r="B163" i="9"/>
  <c r="B155" i="9"/>
  <c r="B150" i="9"/>
  <c r="Q18" i="14"/>
  <c r="Q23" i="14"/>
  <c r="Q22" i="14"/>
  <c r="Q21" i="14"/>
  <c r="Q20" i="14"/>
  <c r="Q19" i="14"/>
  <c r="Q14" i="25"/>
  <c r="Q15" i="25" s="1"/>
  <c r="Q15" i="24"/>
  <c r="Q20" i="13"/>
  <c r="Q19" i="13"/>
  <c r="P15" i="25"/>
  <c r="P16" i="24"/>
  <c r="P21" i="13"/>
  <c r="Q16" i="24" l="1"/>
  <c r="Q21" i="13"/>
  <c r="L32" i="6" l="1"/>
  <c r="L31" i="6"/>
  <c r="K32" i="6"/>
  <c r="O15" i="25" l="1"/>
  <c r="O16" i="24"/>
  <c r="O21" i="13" l="1"/>
  <c r="K31" i="6" l="1"/>
  <c r="J31" i="6"/>
  <c r="J32" i="6"/>
  <c r="N15" i="25"/>
  <c r="N16" i="24"/>
  <c r="N21" i="13" l="1"/>
  <c r="N29" i="6" l="1"/>
  <c r="M29" i="6"/>
  <c r="L29" i="6"/>
  <c r="K29" i="6"/>
  <c r="J29" i="6"/>
  <c r="L30" i="6"/>
  <c r="K30" i="6"/>
  <c r="M15" i="25" l="1"/>
  <c r="M16" i="24"/>
  <c r="M21" i="13" l="1"/>
  <c r="L23" i="14" l="1"/>
  <c r="L22" i="14"/>
  <c r="L21" i="14"/>
  <c r="L20" i="14"/>
  <c r="L19" i="14"/>
  <c r="G23" i="14"/>
  <c r="G22" i="14"/>
  <c r="G21" i="14"/>
  <c r="G20" i="14"/>
  <c r="G19" i="14"/>
  <c r="L14" i="25" l="1"/>
  <c r="L15" i="25" s="1"/>
  <c r="G14" i="25"/>
  <c r="G15" i="25" s="1"/>
  <c r="G20" i="13"/>
  <c r="G19" i="13"/>
  <c r="G15" i="24"/>
  <c r="G21" i="13" l="1"/>
  <c r="G16" i="24"/>
  <c r="K15" i="25" l="1"/>
  <c r="K16" i="24"/>
  <c r="N31" i="6" l="1"/>
  <c r="K21" i="13"/>
  <c r="J15" i="25" l="1"/>
  <c r="I15" i="25"/>
  <c r="F15" i="25"/>
  <c r="E15" i="25"/>
  <c r="D15" i="25"/>
  <c r="C15" i="25"/>
  <c r="H15" i="25"/>
  <c r="J16" i="24" l="1"/>
  <c r="I16" i="24"/>
  <c r="F16" i="24"/>
  <c r="E16" i="24"/>
  <c r="D16" i="24"/>
  <c r="C16" i="24"/>
  <c r="H15" i="24"/>
  <c r="L15" i="24" l="1"/>
  <c r="H16" i="24"/>
  <c r="L16" i="24" l="1"/>
  <c r="J21" i="13" l="1"/>
  <c r="A5" i="5" l="1"/>
  <c r="A4" i="5"/>
  <c r="A2" i="5"/>
  <c r="R55" i="12" l="1"/>
  <c r="R19" i="12"/>
  <c r="U22" i="12"/>
  <c r="H232" i="7"/>
  <c r="H230" i="7"/>
  <c r="H228" i="7"/>
  <c r="H227" i="7"/>
  <c r="E101" i="9"/>
  <c r="E76" i="9"/>
  <c r="E53" i="9"/>
  <c r="E30" i="9"/>
  <c r="L96" i="9"/>
  <c r="L73" i="9"/>
  <c r="N38" i="9"/>
  <c r="C101" i="9"/>
  <c r="E75" i="9"/>
  <c r="E52" i="9"/>
  <c r="C34" i="9"/>
  <c r="L95" i="9"/>
  <c r="L72" i="9"/>
  <c r="L38" i="9"/>
  <c r="E97" i="9"/>
  <c r="E74" i="9"/>
  <c r="E51" i="9"/>
  <c r="C33" i="9"/>
  <c r="L94" i="9"/>
  <c r="N59" i="9"/>
  <c r="N34" i="9"/>
  <c r="N80" i="9"/>
  <c r="N32" i="9"/>
  <c r="C76" i="9"/>
  <c r="C53" i="9"/>
  <c r="L80" i="9"/>
  <c r="N31" i="9"/>
  <c r="C75" i="9"/>
  <c r="C52" i="9"/>
  <c r="N76" i="9"/>
  <c r="N30" i="9"/>
  <c r="C74" i="9"/>
  <c r="C51" i="9"/>
  <c r="N75" i="9"/>
  <c r="N52" i="9"/>
  <c r="L34" i="9"/>
  <c r="C73" i="9"/>
  <c r="N74" i="9"/>
  <c r="C95" i="9"/>
  <c r="N96" i="9"/>
  <c r="L55" i="9"/>
  <c r="C94" i="9"/>
  <c r="E34" i="9"/>
  <c r="N72" i="9"/>
  <c r="L31" i="9"/>
  <c r="C59" i="9"/>
  <c r="N94" i="9"/>
  <c r="L76" i="9"/>
  <c r="L30" i="9"/>
  <c r="E80" i="9"/>
  <c r="L52" i="9"/>
  <c r="E54" i="9"/>
  <c r="L97" i="9"/>
  <c r="L51" i="9"/>
  <c r="E38" i="9"/>
  <c r="L33" i="9"/>
  <c r="E96" i="9"/>
  <c r="E73" i="9"/>
  <c r="C55" i="9"/>
  <c r="C32" i="9"/>
  <c r="L93" i="9"/>
  <c r="L59" i="9"/>
  <c r="N33" i="9"/>
  <c r="E95" i="9"/>
  <c r="E72" i="9"/>
  <c r="C54" i="9"/>
  <c r="C31" i="9"/>
  <c r="N55" i="9"/>
  <c r="E94" i="9"/>
  <c r="C30" i="9"/>
  <c r="N54" i="9"/>
  <c r="E93" i="9"/>
  <c r="N101" i="9"/>
  <c r="N53" i="9"/>
  <c r="C97" i="9"/>
  <c r="L101" i="9"/>
  <c r="C96" i="9"/>
  <c r="N97" i="9"/>
  <c r="N51" i="9"/>
  <c r="C72" i="9"/>
  <c r="C38" i="9"/>
  <c r="N73" i="9"/>
  <c r="L32" i="9"/>
  <c r="E59" i="9"/>
  <c r="N95" i="9"/>
  <c r="L54" i="9"/>
  <c r="C93" i="9"/>
  <c r="E33" i="9"/>
  <c r="L53" i="9"/>
  <c r="E55" i="9"/>
  <c r="E32" i="9"/>
  <c r="N93" i="9"/>
  <c r="L75" i="9"/>
  <c r="C80" i="9"/>
  <c r="E31" i="9"/>
  <c r="L74" i="9"/>
  <c r="AA14" i="15"/>
  <c r="N10" i="9"/>
  <c r="E8" i="9"/>
  <c r="AA12" i="15"/>
  <c r="N9" i="9"/>
  <c r="C12" i="9"/>
  <c r="AA11" i="15"/>
  <c r="N8" i="9"/>
  <c r="C11" i="9"/>
  <c r="AA8" i="15"/>
  <c r="L12" i="9"/>
  <c r="C10" i="9"/>
  <c r="AA7" i="15"/>
  <c r="L11" i="9"/>
  <c r="C9" i="9"/>
  <c r="Z14" i="15"/>
  <c r="L10" i="9"/>
  <c r="C8" i="9"/>
  <c r="Z12" i="15"/>
  <c r="L9" i="9"/>
  <c r="Z11" i="15"/>
  <c r="L8" i="9"/>
  <c r="Z8" i="15"/>
  <c r="E16" i="9"/>
  <c r="C16" i="9"/>
  <c r="L16" i="9"/>
  <c r="E12" i="9"/>
  <c r="N16" i="9"/>
  <c r="E11" i="9"/>
  <c r="N12" i="9"/>
  <c r="E10" i="9"/>
  <c r="N11" i="9"/>
  <c r="E9" i="9"/>
  <c r="Z7" i="15"/>
  <c r="AA14" i="14"/>
  <c r="AA15" i="14" s="1"/>
  <c r="AA12" i="14"/>
  <c r="AA13" i="14" s="1"/>
  <c r="AA11" i="14"/>
  <c r="AA8" i="14"/>
  <c r="AA7" i="14"/>
  <c r="Z14" i="14"/>
  <c r="Z12" i="14"/>
  <c r="Z11" i="14"/>
  <c r="Z8" i="14"/>
  <c r="Z7" i="14"/>
  <c r="AA7" i="25"/>
  <c r="Z8" i="25"/>
  <c r="AA8" i="24"/>
  <c r="AA20" i="24" s="1"/>
  <c r="AA7" i="24"/>
  <c r="Z8" i="24"/>
  <c r="Z7" i="24"/>
  <c r="Z7" i="25"/>
  <c r="AA8" i="25"/>
  <c r="AA19" i="25" s="1"/>
  <c r="AA15" i="13"/>
  <c r="AA13" i="13"/>
  <c r="AA12" i="13"/>
  <c r="AA8" i="13"/>
  <c r="AA25" i="13" s="1"/>
  <c r="AA7" i="13"/>
  <c r="Z13" i="13"/>
  <c r="Z15" i="13"/>
  <c r="Z12" i="13"/>
  <c r="Z8" i="13"/>
  <c r="Z7" i="13"/>
  <c r="V23" i="12"/>
  <c r="V66" i="12"/>
  <c r="V12" i="12"/>
  <c r="V45" i="10"/>
  <c r="V23" i="10"/>
  <c r="V65" i="12"/>
  <c r="V37" i="12"/>
  <c r="V44" i="10"/>
  <c r="V21" i="10"/>
  <c r="V64" i="12"/>
  <c r="V36" i="12"/>
  <c r="V10" i="12"/>
  <c r="V43" i="10"/>
  <c r="V20" i="10"/>
  <c r="V4" i="12"/>
  <c r="V18" i="10"/>
  <c r="V36" i="10"/>
  <c r="V56" i="10"/>
  <c r="V14" i="10"/>
  <c r="V13" i="10"/>
  <c r="V49" i="12"/>
  <c r="V32" i="10"/>
  <c r="V22" i="12"/>
  <c r="V11" i="10"/>
  <c r="V17" i="12"/>
  <c r="V51" i="10"/>
  <c r="V76" i="12"/>
  <c r="V29" i="10"/>
  <c r="V9" i="10"/>
  <c r="V70" i="12"/>
  <c r="V28" i="10"/>
  <c r="V46" i="10"/>
  <c r="V21" i="12"/>
  <c r="V52" i="10"/>
  <c r="V30" i="10"/>
  <c r="V46" i="12"/>
  <c r="V49" i="10"/>
  <c r="V33" i="10"/>
  <c r="V47" i="12"/>
  <c r="V7" i="10"/>
  <c r="V63" i="12"/>
  <c r="V31" i="12"/>
  <c r="V9" i="12"/>
  <c r="V42" i="10"/>
  <c r="V19" i="10"/>
  <c r="V62" i="12"/>
  <c r="V30" i="12"/>
  <c r="V37" i="10"/>
  <c r="V29" i="12"/>
  <c r="V17" i="10"/>
  <c r="V28" i="12"/>
  <c r="V34" i="10"/>
  <c r="V51" i="12"/>
  <c r="V54" i="10"/>
  <c r="V53" i="10"/>
  <c r="V12" i="10"/>
  <c r="V48" i="12"/>
  <c r="V31" i="10"/>
  <c r="V10" i="10"/>
  <c r="V50" i="10"/>
  <c r="V45" i="12"/>
  <c r="V8" i="10"/>
  <c r="V69" i="12"/>
  <c r="V27" i="10"/>
  <c r="V52" i="12"/>
  <c r="V41" i="12"/>
  <c r="AA33" i="11"/>
  <c r="AA42" i="11" s="1"/>
  <c r="AA27" i="11"/>
  <c r="AA26" i="11"/>
  <c r="AA17" i="11"/>
  <c r="AD17" i="11" s="1"/>
  <c r="AA14" i="11"/>
  <c r="Z33" i="11"/>
  <c r="Z42" i="11" s="1"/>
  <c r="V67" i="12"/>
  <c r="Z27" i="11"/>
  <c r="V50" i="12"/>
  <c r="Z26" i="11"/>
  <c r="V43" i="12"/>
  <c r="Z14" i="11"/>
  <c r="Z37" i="11"/>
  <c r="Z17" i="11"/>
  <c r="AB17" i="11" s="1"/>
  <c r="V20" i="12"/>
  <c r="AA37" i="11"/>
  <c r="T27" i="11"/>
  <c r="H216" i="7"/>
  <c r="H217" i="7"/>
  <c r="H219" i="7"/>
  <c r="H221" i="7"/>
  <c r="Y14" i="14"/>
  <c r="Y7" i="13"/>
  <c r="Y12" i="14"/>
  <c r="Y11" i="14"/>
  <c r="Y7" i="24"/>
  <c r="Y12" i="15"/>
  <c r="Y15" i="13"/>
  <c r="Y8" i="15"/>
  <c r="Y8" i="13"/>
  <c r="Y25" i="13" s="1"/>
  <c r="Y8" i="14"/>
  <c r="Y7" i="14"/>
  <c r="Y8" i="25"/>
  <c r="Y19" i="25" s="1"/>
  <c r="Y7" i="25"/>
  <c r="Y8" i="24"/>
  <c r="Y20" i="24" s="1"/>
  <c r="Y14" i="15"/>
  <c r="Y11" i="15"/>
  <c r="Y13" i="13"/>
  <c r="Y12" i="13"/>
  <c r="Y7" i="15"/>
  <c r="U70" i="12"/>
  <c r="U76" i="12"/>
  <c r="U66" i="12"/>
  <c r="U75" i="12"/>
  <c r="U69" i="12"/>
  <c r="U37" i="12"/>
  <c r="U52" i="10"/>
  <c r="U65" i="12"/>
  <c r="U36" i="12"/>
  <c r="U51" i="10"/>
  <c r="U30" i="10"/>
  <c r="U10" i="10"/>
  <c r="U29" i="10"/>
  <c r="U9" i="10"/>
  <c r="U30" i="12"/>
  <c r="U7" i="10"/>
  <c r="Y33" i="11"/>
  <c r="Y42" i="11" s="1"/>
  <c r="U44" i="10"/>
  <c r="Y27" i="11"/>
  <c r="U43" i="10"/>
  <c r="Y26" i="11"/>
  <c r="U19" i="10"/>
  <c r="U9" i="12"/>
  <c r="U18" i="10"/>
  <c r="U17" i="10"/>
  <c r="U56" i="10"/>
  <c r="U34" i="10"/>
  <c r="U14" i="10"/>
  <c r="U33" i="10"/>
  <c r="U32" i="10"/>
  <c r="U11" i="10"/>
  <c r="U64" i="12"/>
  <c r="U31" i="12"/>
  <c r="U50" i="10"/>
  <c r="U49" i="10"/>
  <c r="U28" i="10"/>
  <c r="U8" i="10"/>
  <c r="U29" i="12"/>
  <c r="U46" i="10"/>
  <c r="U27" i="10"/>
  <c r="U45" i="10"/>
  <c r="U23" i="10"/>
  <c r="U21" i="12"/>
  <c r="U21" i="10"/>
  <c r="U12" i="12"/>
  <c r="U20" i="10"/>
  <c r="U10" i="12"/>
  <c r="U42" i="10"/>
  <c r="Y17" i="11"/>
  <c r="U37" i="10"/>
  <c r="Y14" i="11"/>
  <c r="U4" i="12"/>
  <c r="U36" i="10"/>
  <c r="U54" i="10"/>
  <c r="U13" i="10"/>
  <c r="U53" i="10"/>
  <c r="U12" i="10"/>
  <c r="U31" i="10"/>
  <c r="U63" i="12"/>
  <c r="U62" i="12"/>
  <c r="U28" i="12"/>
  <c r="U52" i="12"/>
  <c r="U51" i="12"/>
  <c r="U49" i="12"/>
  <c r="U48" i="12"/>
  <c r="U47" i="12"/>
  <c r="U46" i="12"/>
  <c r="U45" i="12"/>
  <c r="U41" i="12"/>
  <c r="U82" i="12" s="1"/>
  <c r="U50" i="12"/>
  <c r="U43" i="12"/>
  <c r="U20" i="12"/>
  <c r="U17" i="12"/>
  <c r="Y37" i="11"/>
  <c r="U67" i="12"/>
  <c r="H205" i="7"/>
  <c r="H206" i="7"/>
  <c r="H208" i="7"/>
  <c r="H210" i="7"/>
  <c r="X14" i="15"/>
  <c r="X12" i="15"/>
  <c r="X15" i="13"/>
  <c r="X11" i="15"/>
  <c r="X13" i="13"/>
  <c r="X8" i="15"/>
  <c r="X12" i="13"/>
  <c r="X7" i="15"/>
  <c r="X8" i="13"/>
  <c r="X25" i="13" s="1"/>
  <c r="X14" i="14"/>
  <c r="X7" i="13"/>
  <c r="X12" i="14"/>
  <c r="X7" i="14"/>
  <c r="X8" i="25"/>
  <c r="X19" i="25" s="1"/>
  <c r="X7" i="25"/>
  <c r="X8" i="24"/>
  <c r="X20" i="24" s="1"/>
  <c r="X7" i="24"/>
  <c r="X11" i="14"/>
  <c r="X8" i="14"/>
  <c r="T76" i="12"/>
  <c r="T49" i="12"/>
  <c r="T27" i="12"/>
  <c r="T48" i="12"/>
  <c r="T21" i="12"/>
  <c r="T47" i="12"/>
  <c r="T46" i="12"/>
  <c r="T18" i="12"/>
  <c r="T66" i="12"/>
  <c r="T45" i="12"/>
  <c r="T16" i="12"/>
  <c r="T65" i="12"/>
  <c r="T44" i="12"/>
  <c r="T15" i="12"/>
  <c r="T14" i="12"/>
  <c r="T63" i="12"/>
  <c r="T62" i="12"/>
  <c r="T61" i="12"/>
  <c r="T10" i="12"/>
  <c r="T30" i="12"/>
  <c r="T4" i="12"/>
  <c r="T75" i="12"/>
  <c r="T64" i="12"/>
  <c r="T41" i="12"/>
  <c r="T12" i="12"/>
  <c r="T11" i="12"/>
  <c r="T31" i="12"/>
  <c r="T9" i="12"/>
  <c r="T51" i="12"/>
  <c r="T3" i="12"/>
  <c r="T69" i="12"/>
  <c r="T42" i="12"/>
  <c r="T13" i="12"/>
  <c r="T37" i="12"/>
  <c r="T36" i="12"/>
  <c r="T54" i="12"/>
  <c r="T52" i="12"/>
  <c r="T28" i="12"/>
  <c r="T68" i="12"/>
  <c r="T29" i="12"/>
  <c r="T56" i="10"/>
  <c r="T34" i="10"/>
  <c r="T14" i="10"/>
  <c r="T54" i="10"/>
  <c r="T53" i="10"/>
  <c r="T32" i="10"/>
  <c r="T12" i="10"/>
  <c r="T52" i="10"/>
  <c r="T31" i="10"/>
  <c r="T11" i="10"/>
  <c r="T51" i="10"/>
  <c r="T30" i="10"/>
  <c r="T10" i="10"/>
  <c r="T50" i="10"/>
  <c r="T29" i="10"/>
  <c r="T49" i="10"/>
  <c r="T28" i="10"/>
  <c r="T8" i="10"/>
  <c r="T46" i="10"/>
  <c r="T27" i="10"/>
  <c r="T7" i="10"/>
  <c r="T45" i="10"/>
  <c r="T23" i="10"/>
  <c r="T44" i="10"/>
  <c r="T21" i="10"/>
  <c r="T43" i="10"/>
  <c r="T20" i="10"/>
  <c r="T42" i="10"/>
  <c r="T19" i="10"/>
  <c r="T37" i="10"/>
  <c r="T18" i="10"/>
  <c r="T36" i="10"/>
  <c r="T17" i="10"/>
  <c r="T33" i="10"/>
  <c r="T13" i="10"/>
  <c r="T9" i="10"/>
  <c r="X36" i="11"/>
  <c r="X11" i="11"/>
  <c r="X26" i="11"/>
  <c r="X20" i="11"/>
  <c r="X14" i="11"/>
  <c r="X33" i="11"/>
  <c r="X42" i="11" s="1"/>
  <c r="X9" i="11"/>
  <c r="X27" i="11"/>
  <c r="V14" i="11"/>
  <c r="X18" i="11"/>
  <c r="X15" i="11"/>
  <c r="X12" i="11"/>
  <c r="X32" i="11"/>
  <c r="X8" i="11"/>
  <c r="X19" i="11"/>
  <c r="X17" i="11"/>
  <c r="X13" i="11"/>
  <c r="X22" i="11"/>
  <c r="R8" i="25"/>
  <c r="T67" i="12"/>
  <c r="T50" i="12"/>
  <c r="T43" i="12"/>
  <c r="T20" i="12"/>
  <c r="T17" i="12"/>
  <c r="X37" i="11"/>
  <c r="O22" i="12"/>
  <c r="H199" i="7"/>
  <c r="H194" i="7"/>
  <c r="H197" i="7"/>
  <c r="H195" i="7"/>
  <c r="W7" i="24"/>
  <c r="W12" i="15"/>
  <c r="W14" i="14"/>
  <c r="W11" i="14"/>
  <c r="W7" i="14"/>
  <c r="W8" i="24"/>
  <c r="W20" i="24" s="1"/>
  <c r="W14" i="15"/>
  <c r="W11" i="15"/>
  <c r="W8" i="15"/>
  <c r="W12" i="14"/>
  <c r="W8" i="14"/>
  <c r="W7" i="25"/>
  <c r="W7" i="15"/>
  <c r="W8" i="25"/>
  <c r="W19" i="25" s="1"/>
  <c r="W15" i="13"/>
  <c r="W12" i="13"/>
  <c r="W8" i="13"/>
  <c r="W25" i="13" s="1"/>
  <c r="W7" i="13"/>
  <c r="W13" i="13"/>
  <c r="S51" i="12"/>
  <c r="S28" i="12"/>
  <c r="S3" i="12"/>
  <c r="S48" i="12"/>
  <c r="S69" i="12"/>
  <c r="S46" i="12"/>
  <c r="S18" i="12"/>
  <c r="S41" i="12"/>
  <c r="S37" i="12"/>
  <c r="S61" i="12"/>
  <c r="S10" i="12"/>
  <c r="S30" i="12"/>
  <c r="S29" i="12"/>
  <c r="S49" i="12"/>
  <c r="S27" i="12"/>
  <c r="S76" i="12"/>
  <c r="S21" i="12"/>
  <c r="S47" i="12"/>
  <c r="S68" i="12"/>
  <c r="S14" i="12"/>
  <c r="S62" i="12"/>
  <c r="S36" i="12"/>
  <c r="S31" i="12"/>
  <c r="S9" i="12"/>
  <c r="S4" i="12"/>
  <c r="S66" i="12"/>
  <c r="S45" i="12"/>
  <c r="S16" i="12"/>
  <c r="S65" i="12"/>
  <c r="S44" i="12"/>
  <c r="S15" i="12"/>
  <c r="S64" i="12"/>
  <c r="S42" i="12"/>
  <c r="S13" i="12"/>
  <c r="S12" i="12"/>
  <c r="S11" i="12"/>
  <c r="S54" i="12"/>
  <c r="S52" i="12"/>
  <c r="S63" i="12"/>
  <c r="S45" i="10"/>
  <c r="S23" i="10"/>
  <c r="S42" i="10"/>
  <c r="S19" i="10"/>
  <c r="S18" i="10"/>
  <c r="S17" i="10"/>
  <c r="S14" i="10"/>
  <c r="S33" i="10"/>
  <c r="S32" i="10"/>
  <c r="S30" i="10"/>
  <c r="S29" i="10"/>
  <c r="S28" i="10"/>
  <c r="S7" i="10"/>
  <c r="S44" i="10"/>
  <c r="S21" i="10"/>
  <c r="S37" i="10"/>
  <c r="S36" i="10"/>
  <c r="S56" i="10"/>
  <c r="S54" i="10"/>
  <c r="S52" i="10"/>
  <c r="S51" i="10"/>
  <c r="S50" i="10"/>
  <c r="S49" i="10"/>
  <c r="S46" i="10"/>
  <c r="S43" i="10"/>
  <c r="S20" i="10"/>
  <c r="S34" i="10"/>
  <c r="S13" i="10"/>
  <c r="S12" i="10"/>
  <c r="S31" i="10"/>
  <c r="S11" i="10"/>
  <c r="S10" i="10"/>
  <c r="S9" i="10"/>
  <c r="S8" i="10"/>
  <c r="S27" i="10"/>
  <c r="S53" i="10"/>
  <c r="W17" i="11"/>
  <c r="W36" i="11"/>
  <c r="W9" i="11"/>
  <c r="W26" i="11"/>
  <c r="W20" i="11"/>
  <c r="W18" i="11"/>
  <c r="W13" i="11"/>
  <c r="W11" i="11"/>
  <c r="W33" i="11"/>
  <c r="W42" i="11" s="1"/>
  <c r="W8" i="11"/>
  <c r="W27" i="11"/>
  <c r="W22" i="11"/>
  <c r="W19" i="11"/>
  <c r="W15" i="11"/>
  <c r="W14" i="11"/>
  <c r="W12" i="11"/>
  <c r="W32" i="11"/>
  <c r="S67" i="12"/>
  <c r="W37" i="11"/>
  <c r="S50" i="12"/>
  <c r="S43" i="12"/>
  <c r="S20" i="12"/>
  <c r="S17" i="12"/>
  <c r="N61" i="12"/>
  <c r="V14" i="14"/>
  <c r="V8" i="14"/>
  <c r="AD8" i="14" s="1"/>
  <c r="AE8" i="14" s="1"/>
  <c r="V7" i="14"/>
  <c r="AD7" i="14" s="1"/>
  <c r="AE7" i="14" s="1"/>
  <c r="V8" i="25"/>
  <c r="AD8" i="25" s="1"/>
  <c r="AE8" i="25" s="1"/>
  <c r="V7" i="25"/>
  <c r="V8" i="24"/>
  <c r="V15" i="13"/>
  <c r="AD15" i="13" s="1"/>
  <c r="AE15" i="13" s="1"/>
  <c r="V11" i="15"/>
  <c r="V12" i="13"/>
  <c r="AD12" i="13" s="1"/>
  <c r="AE12" i="13" s="1"/>
  <c r="V12" i="14"/>
  <c r="V12" i="15"/>
  <c r="V8" i="15"/>
  <c r="AD8" i="15" s="1"/>
  <c r="AE8" i="15" s="1"/>
  <c r="V7" i="15"/>
  <c r="V11" i="14"/>
  <c r="V14" i="15"/>
  <c r="V13" i="13"/>
  <c r="AD13" i="13" s="1"/>
  <c r="AE13" i="13" s="1"/>
  <c r="V8" i="13"/>
  <c r="V7" i="13"/>
  <c r="AD7" i="13" s="1"/>
  <c r="AE7" i="13" s="1"/>
  <c r="V7" i="24"/>
  <c r="U7" i="24"/>
  <c r="U7" i="25"/>
  <c r="U7" i="15"/>
  <c r="H183" i="7"/>
  <c r="U7" i="14"/>
  <c r="U11" i="14"/>
  <c r="U8" i="14"/>
  <c r="U8" i="15"/>
  <c r="U8" i="24"/>
  <c r="H184" i="7"/>
  <c r="U11" i="15"/>
  <c r="U8" i="25"/>
  <c r="H186" i="7"/>
  <c r="U12" i="15"/>
  <c r="H188" i="7"/>
  <c r="U12" i="14"/>
  <c r="U14" i="14"/>
  <c r="U14" i="15"/>
  <c r="U15" i="13"/>
  <c r="C188" i="7" s="1"/>
  <c r="R51" i="12"/>
  <c r="R46" i="12"/>
  <c r="U8" i="13"/>
  <c r="R66" i="12"/>
  <c r="R31" i="12"/>
  <c r="R62" i="12"/>
  <c r="R47" i="12"/>
  <c r="U13" i="13"/>
  <c r="C186" i="7" s="1"/>
  <c r="R37" i="12"/>
  <c r="R64" i="12"/>
  <c r="R30" i="12"/>
  <c r="R48" i="12"/>
  <c r="U12" i="13"/>
  <c r="R45" i="12"/>
  <c r="R41" i="12"/>
  <c r="U7" i="13"/>
  <c r="R36" i="12"/>
  <c r="R63" i="12"/>
  <c r="R49" i="12"/>
  <c r="R52" i="12"/>
  <c r="R61" i="12"/>
  <c r="R44" i="12"/>
  <c r="R54" i="12"/>
  <c r="R76" i="12"/>
  <c r="R42" i="12"/>
  <c r="R65" i="12"/>
  <c r="R75" i="12"/>
  <c r="R29" i="12"/>
  <c r="R10" i="12"/>
  <c r="R43" i="10"/>
  <c r="R20" i="10"/>
  <c r="R3" i="12"/>
  <c r="R33" i="10"/>
  <c r="R53" i="10"/>
  <c r="R31" i="10"/>
  <c r="R51" i="10"/>
  <c r="R15" i="12"/>
  <c r="R13" i="12"/>
  <c r="R45" i="10"/>
  <c r="R28" i="12"/>
  <c r="R9" i="12"/>
  <c r="R42" i="10"/>
  <c r="R19" i="10"/>
  <c r="R17" i="10"/>
  <c r="R56" i="10"/>
  <c r="R14" i="10"/>
  <c r="R54" i="10"/>
  <c r="R13" i="10"/>
  <c r="R32" i="10"/>
  <c r="R52" i="10"/>
  <c r="R30" i="10"/>
  <c r="R50" i="10"/>
  <c r="R49" i="10"/>
  <c r="R8" i="10"/>
  <c r="R27" i="10"/>
  <c r="R12" i="12"/>
  <c r="R27" i="12"/>
  <c r="R4" i="12"/>
  <c r="R37" i="10"/>
  <c r="R18" i="10"/>
  <c r="R36" i="10"/>
  <c r="R34" i="10"/>
  <c r="R69" i="12"/>
  <c r="R68" i="12"/>
  <c r="R12" i="10"/>
  <c r="R10" i="10"/>
  <c r="R29" i="10"/>
  <c r="R14" i="12"/>
  <c r="R11" i="12"/>
  <c r="R21" i="10"/>
  <c r="R21" i="12"/>
  <c r="R18" i="12"/>
  <c r="R11" i="10"/>
  <c r="R9" i="10"/>
  <c r="R28" i="10"/>
  <c r="R46" i="10"/>
  <c r="R23" i="10"/>
  <c r="R44" i="10"/>
  <c r="R7" i="10"/>
  <c r="R16" i="12"/>
  <c r="V36" i="11"/>
  <c r="V18" i="11"/>
  <c r="R50" i="12"/>
  <c r="V11" i="11"/>
  <c r="V33" i="11"/>
  <c r="V15" i="11"/>
  <c r="V32" i="11"/>
  <c r="V22" i="11"/>
  <c r="V27" i="11"/>
  <c r="V13" i="11"/>
  <c r="R20" i="12"/>
  <c r="V26" i="11"/>
  <c r="V12" i="11"/>
  <c r="V20" i="11"/>
  <c r="V9" i="11"/>
  <c r="R17" i="12"/>
  <c r="R43" i="12"/>
  <c r="R67" i="12"/>
  <c r="V19" i="11"/>
  <c r="V8" i="11"/>
  <c r="V37" i="11"/>
  <c r="M30" i="12"/>
  <c r="M61" i="12"/>
  <c r="S27" i="11"/>
  <c r="R14" i="11"/>
  <c r="H172" i="7"/>
  <c r="H173" i="7"/>
  <c r="H175" i="7"/>
  <c r="H177" i="7"/>
  <c r="Q68" i="12"/>
  <c r="Q52" i="12"/>
  <c r="Q66" i="12"/>
  <c r="Q51" i="12"/>
  <c r="Q53" i="12"/>
  <c r="Q65" i="12"/>
  <c r="Q49" i="12"/>
  <c r="Q47" i="12"/>
  <c r="Q63" i="12"/>
  <c r="Q42" i="12"/>
  <c r="Q64" i="12"/>
  <c r="Q46" i="12"/>
  <c r="Q62" i="12"/>
  <c r="Q45" i="12"/>
  <c r="Q61" i="12"/>
  <c r="Q44" i="12"/>
  <c r="Q69" i="12"/>
  <c r="T14" i="15"/>
  <c r="T12" i="14"/>
  <c r="T7" i="24"/>
  <c r="Q48" i="12"/>
  <c r="Q27" i="12"/>
  <c r="Q13" i="12"/>
  <c r="Q50" i="12"/>
  <c r="Q51" i="10"/>
  <c r="Q37" i="10"/>
  <c r="Q28" i="10"/>
  <c r="Q14" i="10"/>
  <c r="T36" i="11"/>
  <c r="T18" i="11"/>
  <c r="T12" i="15"/>
  <c r="T11" i="14"/>
  <c r="Q41" i="12"/>
  <c r="Q82" i="12" s="1"/>
  <c r="Q22" i="12"/>
  <c r="Q12" i="12"/>
  <c r="Q43" i="12"/>
  <c r="Q50" i="10"/>
  <c r="Q36" i="10"/>
  <c r="Q27" i="10"/>
  <c r="T33" i="11"/>
  <c r="Q21" i="10"/>
  <c r="T8" i="25"/>
  <c r="Q9" i="12"/>
  <c r="Q20" i="10"/>
  <c r="T11" i="15"/>
  <c r="T8" i="14"/>
  <c r="T15" i="13"/>
  <c r="Q37" i="12"/>
  <c r="Q21" i="12"/>
  <c r="Q11" i="12"/>
  <c r="Q20" i="12"/>
  <c r="Q49" i="10"/>
  <c r="Q34" i="10"/>
  <c r="Q23" i="10"/>
  <c r="Q12" i="10"/>
  <c r="T32" i="11"/>
  <c r="T14" i="11"/>
  <c r="T8" i="15"/>
  <c r="T7" i="14"/>
  <c r="T13" i="13"/>
  <c r="Q36" i="12"/>
  <c r="Q19" i="12"/>
  <c r="Q10" i="12"/>
  <c r="Q17" i="12"/>
  <c r="Q46" i="10"/>
  <c r="T12" i="13"/>
  <c r="Q56" i="10"/>
  <c r="Q10" i="10"/>
  <c r="T7" i="25"/>
  <c r="T8" i="13"/>
  <c r="Q30" i="12"/>
  <c r="Q16" i="12"/>
  <c r="Q4" i="12"/>
  <c r="Q54" i="10"/>
  <c r="Q44" i="10"/>
  <c r="Q31" i="10"/>
  <c r="Q19" i="10"/>
  <c r="Q9" i="10"/>
  <c r="T22" i="11"/>
  <c r="T11" i="11"/>
  <c r="T8" i="24"/>
  <c r="Q52" i="10"/>
  <c r="Q29" i="10"/>
  <c r="Q7" i="10"/>
  <c r="T8" i="11"/>
  <c r="T15" i="11"/>
  <c r="Q11" i="10"/>
  <c r="T7" i="15"/>
  <c r="Q18" i="12"/>
  <c r="Q45" i="10"/>
  <c r="T26" i="11"/>
  <c r="T7" i="13"/>
  <c r="Q29" i="12"/>
  <c r="Q15" i="12"/>
  <c r="Q3" i="12"/>
  <c r="Q53" i="10"/>
  <c r="Q43" i="10"/>
  <c r="Q30" i="10"/>
  <c r="Q18" i="10"/>
  <c r="Q8" i="10"/>
  <c r="T20" i="11"/>
  <c r="T9" i="11"/>
  <c r="T14" i="14"/>
  <c r="Q28" i="12"/>
  <c r="Q14" i="12"/>
  <c r="Q67" i="12"/>
  <c r="Q42" i="10"/>
  <c r="Q17" i="10"/>
  <c r="T19" i="11"/>
  <c r="Q13" i="10"/>
  <c r="Q33" i="10"/>
  <c r="T13" i="11"/>
  <c r="Q31" i="12"/>
  <c r="Q32" i="10"/>
  <c r="T12" i="11"/>
  <c r="T37" i="11"/>
  <c r="H153" i="7"/>
  <c r="L62" i="12"/>
  <c r="L30" i="12"/>
  <c r="L63" i="12"/>
  <c r="L61" i="12"/>
  <c r="P68" i="12"/>
  <c r="P53" i="12"/>
  <c r="P66" i="12"/>
  <c r="P65" i="12"/>
  <c r="P69" i="12"/>
  <c r="P63" i="12"/>
  <c r="P54" i="12"/>
  <c r="P64" i="12"/>
  <c r="P62" i="12"/>
  <c r="P76" i="12"/>
  <c r="P61" i="12"/>
  <c r="P75" i="12"/>
  <c r="P56" i="10"/>
  <c r="P50" i="10"/>
  <c r="P36" i="10"/>
  <c r="P21" i="10"/>
  <c r="P33" i="10"/>
  <c r="P32" i="10"/>
  <c r="P53" i="10"/>
  <c r="P42" i="10"/>
  <c r="P23" i="10"/>
  <c r="P18" i="10"/>
  <c r="P49" i="10"/>
  <c r="P34" i="10"/>
  <c r="P20" i="10"/>
  <c r="P46" i="10"/>
  <c r="P45" i="10"/>
  <c r="P31" i="10"/>
  <c r="P30" i="10"/>
  <c r="P51" i="10"/>
  <c r="P29" i="10"/>
  <c r="P19" i="10"/>
  <c r="P44" i="10"/>
  <c r="P52" i="10"/>
  <c r="P37" i="10"/>
  <c r="P28" i="10"/>
  <c r="P27" i="10"/>
  <c r="P54" i="10"/>
  <c r="P43" i="10"/>
  <c r="S14" i="15"/>
  <c r="S8" i="14"/>
  <c r="S7" i="25"/>
  <c r="S14" i="14"/>
  <c r="S11" i="14"/>
  <c r="S12" i="15"/>
  <c r="S7" i="14"/>
  <c r="S7" i="15"/>
  <c r="S12" i="14"/>
  <c r="S11" i="15"/>
  <c r="S8" i="25"/>
  <c r="S7" i="24"/>
  <c r="S8" i="15"/>
  <c r="S8" i="24"/>
  <c r="S15" i="13"/>
  <c r="S13" i="13"/>
  <c r="S12" i="13"/>
  <c r="S8" i="13"/>
  <c r="S7" i="13"/>
  <c r="P52" i="12"/>
  <c r="P42" i="12"/>
  <c r="P27" i="12"/>
  <c r="P13" i="12"/>
  <c r="P12" i="12"/>
  <c r="P11" i="12"/>
  <c r="P10" i="12"/>
  <c r="P18" i="12"/>
  <c r="P30" i="12"/>
  <c r="P15" i="12"/>
  <c r="P14" i="12"/>
  <c r="P51" i="12"/>
  <c r="P41" i="12"/>
  <c r="P22" i="12"/>
  <c r="P19" i="12"/>
  <c r="P31" i="12"/>
  <c r="P46" i="12"/>
  <c r="P45" i="12"/>
  <c r="P3" i="12"/>
  <c r="P49" i="12"/>
  <c r="P37" i="12"/>
  <c r="P21" i="12"/>
  <c r="P36" i="12"/>
  <c r="P47" i="12"/>
  <c r="P9" i="12"/>
  <c r="P16" i="12"/>
  <c r="P29" i="12"/>
  <c r="P28" i="12"/>
  <c r="P48" i="12"/>
  <c r="P4" i="12"/>
  <c r="P44" i="12"/>
  <c r="P17" i="10"/>
  <c r="P13" i="10"/>
  <c r="P11" i="10"/>
  <c r="P10" i="10"/>
  <c r="P9" i="10"/>
  <c r="P14" i="10"/>
  <c r="P12" i="10"/>
  <c r="P8" i="10"/>
  <c r="P7" i="10"/>
  <c r="S19" i="11"/>
  <c r="S8" i="11"/>
  <c r="H162" i="7"/>
  <c r="S11" i="11"/>
  <c r="S9" i="11"/>
  <c r="S36" i="11"/>
  <c r="S18" i="11"/>
  <c r="H161" i="7"/>
  <c r="S12" i="11"/>
  <c r="S33" i="11"/>
  <c r="S15" i="11"/>
  <c r="S14" i="11"/>
  <c r="S13" i="11"/>
  <c r="S22" i="11"/>
  <c r="H166" i="7"/>
  <c r="S32" i="11"/>
  <c r="H164" i="7"/>
  <c r="S20" i="11"/>
  <c r="S26" i="11"/>
  <c r="P67" i="12"/>
  <c r="P50" i="12"/>
  <c r="S37" i="11"/>
  <c r="P43" i="12"/>
  <c r="P17" i="12"/>
  <c r="P20" i="12"/>
  <c r="O63" i="12"/>
  <c r="O52" i="12"/>
  <c r="O69" i="12"/>
  <c r="O62" i="12"/>
  <c r="O47" i="12"/>
  <c r="O46" i="12"/>
  <c r="O45" i="12"/>
  <c r="O49" i="12"/>
  <c r="O68" i="12"/>
  <c r="O61" i="12"/>
  <c r="O44" i="12"/>
  <c r="O66" i="12"/>
  <c r="O42" i="12"/>
  <c r="O51" i="12"/>
  <c r="O65" i="12"/>
  <c r="R11" i="14"/>
  <c r="R13" i="13"/>
  <c r="O31" i="12"/>
  <c r="O18" i="12"/>
  <c r="O9" i="12"/>
  <c r="O50" i="10"/>
  <c r="O36" i="10"/>
  <c r="O21" i="10"/>
  <c r="O10" i="10"/>
  <c r="O34" i="10"/>
  <c r="O9" i="10"/>
  <c r="O8" i="10"/>
  <c r="O14" i="12"/>
  <c r="O32" i="10"/>
  <c r="O31" i="10"/>
  <c r="O37" i="12"/>
  <c r="R12" i="14"/>
  <c r="H155" i="7"/>
  <c r="R14" i="15"/>
  <c r="R8" i="14"/>
  <c r="R12" i="13"/>
  <c r="O30" i="12"/>
  <c r="O16" i="12"/>
  <c r="O4" i="12"/>
  <c r="O49" i="10"/>
  <c r="O20" i="10"/>
  <c r="O19" i="10"/>
  <c r="R7" i="13"/>
  <c r="O45" i="10"/>
  <c r="O13" i="12"/>
  <c r="R7" i="24"/>
  <c r="O23" i="10"/>
  <c r="R12" i="15"/>
  <c r="R7" i="14"/>
  <c r="R8" i="13"/>
  <c r="O29" i="12"/>
  <c r="O15" i="12"/>
  <c r="O3" i="12"/>
  <c r="O46" i="10"/>
  <c r="O33" i="10"/>
  <c r="O28" i="12"/>
  <c r="O7" i="10"/>
  <c r="O36" i="12"/>
  <c r="H151" i="7"/>
  <c r="R11" i="15"/>
  <c r="O56" i="10"/>
  <c r="O17" i="10"/>
  <c r="O44" i="10"/>
  <c r="O14" i="10"/>
  <c r="O21" i="12"/>
  <c r="O12" i="10"/>
  <c r="O19" i="12"/>
  <c r="O37" i="10"/>
  <c r="H150" i="7"/>
  <c r="R8" i="15"/>
  <c r="R7" i="25"/>
  <c r="O48" i="12"/>
  <c r="O27" i="12"/>
  <c r="O54" i="10"/>
  <c r="O11" i="12"/>
  <c r="O42" i="10"/>
  <c r="R15" i="13"/>
  <c r="O51" i="10"/>
  <c r="O11" i="10"/>
  <c r="R7" i="15"/>
  <c r="R8" i="24"/>
  <c r="O41" i="12"/>
  <c r="O82" i="12" s="1"/>
  <c r="O12" i="12"/>
  <c r="O53" i="10"/>
  <c r="O43" i="10"/>
  <c r="O30" i="10"/>
  <c r="O13" i="10"/>
  <c r="R14" i="14"/>
  <c r="O52" i="10"/>
  <c r="O27" i="10"/>
  <c r="O10" i="12"/>
  <c r="R26" i="11"/>
  <c r="R12" i="11"/>
  <c r="R22" i="11"/>
  <c r="R11" i="11"/>
  <c r="R9" i="11"/>
  <c r="R18" i="11"/>
  <c r="R15" i="11"/>
  <c r="R27" i="11"/>
  <c r="R8" i="11"/>
  <c r="R20" i="11"/>
  <c r="R33" i="11"/>
  <c r="R19" i="11"/>
  <c r="R32" i="11"/>
  <c r="R36" i="11"/>
  <c r="R13" i="11"/>
  <c r="O17" i="12"/>
  <c r="R37" i="11"/>
  <c r="O50" i="12"/>
  <c r="O67" i="12"/>
  <c r="O43" i="12"/>
  <c r="O20" i="12"/>
  <c r="H139" i="7"/>
  <c r="J36" i="12"/>
  <c r="J49" i="12"/>
  <c r="J20" i="12"/>
  <c r="J51" i="12"/>
  <c r="J19" i="12"/>
  <c r="J52" i="12"/>
  <c r="J44" i="12"/>
  <c r="J16" i="12"/>
  <c r="J54" i="12"/>
  <c r="J61" i="12"/>
  <c r="J48" i="12"/>
  <c r="J62" i="12"/>
  <c r="J42" i="12"/>
  <c r="J63" i="12"/>
  <c r="J66" i="12"/>
  <c r="J46" i="12"/>
  <c r="J75" i="12"/>
  <c r="J41" i="12"/>
  <c r="J30" i="12"/>
  <c r="J31" i="12"/>
  <c r="H106" i="7"/>
  <c r="H94" i="7"/>
  <c r="J65" i="12"/>
  <c r="N30" i="12"/>
  <c r="J29" i="12"/>
  <c r="J21" i="12"/>
  <c r="J10" i="12"/>
  <c r="J18" i="12"/>
  <c r="J4" i="12"/>
  <c r="J3" i="12"/>
  <c r="J9" i="12"/>
  <c r="J46" i="10"/>
  <c r="J32" i="10"/>
  <c r="J17" i="10"/>
  <c r="J7" i="10"/>
  <c r="L8" i="11"/>
  <c r="J23" i="10"/>
  <c r="J37" i="10"/>
  <c r="J21" i="10"/>
  <c r="L32" i="11"/>
  <c r="J20" i="10"/>
  <c r="J56" i="10"/>
  <c r="J45" i="10"/>
  <c r="J31" i="10"/>
  <c r="J14" i="10"/>
  <c r="L27" i="11"/>
  <c r="L18" i="11"/>
  <c r="J42" i="10"/>
  <c r="L20" i="11"/>
  <c r="L19" i="11"/>
  <c r="J9" i="10"/>
  <c r="J19" i="10"/>
  <c r="J8" i="10"/>
  <c r="J54" i="10"/>
  <c r="J44" i="10"/>
  <c r="J30" i="10"/>
  <c r="J13" i="10"/>
  <c r="L26" i="11"/>
  <c r="L15" i="11"/>
  <c r="J11" i="10"/>
  <c r="J10" i="10"/>
  <c r="J50" i="10"/>
  <c r="L12" i="11"/>
  <c r="J49" i="10"/>
  <c r="L9" i="11"/>
  <c r="J53" i="10"/>
  <c r="J43" i="10"/>
  <c r="J27" i="10"/>
  <c r="J12" i="10"/>
  <c r="L22" i="11"/>
  <c r="L14" i="11"/>
  <c r="J52" i="10"/>
  <c r="L33" i="11"/>
  <c r="J34" i="10"/>
  <c r="L11" i="11"/>
  <c r="J33" i="10"/>
  <c r="J51" i="10"/>
  <c r="Q12" i="11"/>
  <c r="H140" i="7"/>
  <c r="H142" i="7"/>
  <c r="H144" i="7"/>
  <c r="L11" i="14"/>
  <c r="L12" i="13"/>
  <c r="L8" i="15"/>
  <c r="L8" i="14"/>
  <c r="L8" i="25"/>
  <c r="L11" i="15"/>
  <c r="L8" i="13"/>
  <c r="L8" i="24"/>
  <c r="L7" i="15"/>
  <c r="L7" i="24"/>
  <c r="L12" i="15"/>
  <c r="L14" i="15"/>
  <c r="L7" i="25"/>
  <c r="L7" i="14"/>
  <c r="L7" i="13"/>
  <c r="L14" i="14"/>
  <c r="L12" i="14"/>
  <c r="L15" i="13"/>
  <c r="L13" i="13"/>
  <c r="P15" i="13"/>
  <c r="C144" i="7" s="1"/>
  <c r="P7" i="13"/>
  <c r="C139" i="7" s="1"/>
  <c r="P13" i="13"/>
  <c r="C142" i="7" s="1"/>
  <c r="P8" i="13"/>
  <c r="P25" i="13" s="1"/>
  <c r="P12" i="13"/>
  <c r="P14" i="15"/>
  <c r="G144" i="7" s="1"/>
  <c r="P7" i="15"/>
  <c r="P12" i="15"/>
  <c r="G142" i="7" s="1"/>
  <c r="P11" i="15"/>
  <c r="P8" i="15"/>
  <c r="P11" i="14"/>
  <c r="P7" i="24"/>
  <c r="D139" i="7" s="1"/>
  <c r="P14" i="14"/>
  <c r="F144" i="7" s="1"/>
  <c r="P8" i="14"/>
  <c r="P8" i="24"/>
  <c r="P20" i="24" s="1"/>
  <c r="P8" i="25"/>
  <c r="P19" i="25" s="1"/>
  <c r="P7" i="14"/>
  <c r="P7" i="25"/>
  <c r="P12" i="14"/>
  <c r="F142" i="7" s="1"/>
  <c r="N22" i="12"/>
  <c r="N66" i="12"/>
  <c r="N48" i="12"/>
  <c r="N69" i="12"/>
  <c r="N63" i="12"/>
  <c r="N62" i="12"/>
  <c r="N54" i="12"/>
  <c r="N68" i="12"/>
  <c r="N76" i="12"/>
  <c r="N65" i="12"/>
  <c r="N75" i="12"/>
  <c r="N52" i="12"/>
  <c r="N37" i="12"/>
  <c r="N19" i="12"/>
  <c r="N10" i="12"/>
  <c r="N51" i="10"/>
  <c r="N37" i="10"/>
  <c r="N23" i="10"/>
  <c r="N11" i="10"/>
  <c r="N3" i="12"/>
  <c r="N19" i="10"/>
  <c r="N29" i="12"/>
  <c r="N14" i="12"/>
  <c r="N56" i="10"/>
  <c r="N32" i="10"/>
  <c r="N17" i="10"/>
  <c r="N7" i="10"/>
  <c r="N12" i="10"/>
  <c r="N51" i="12"/>
  <c r="N36" i="12"/>
  <c r="N18" i="12"/>
  <c r="N9" i="12"/>
  <c r="N50" i="10"/>
  <c r="N36" i="10"/>
  <c r="N21" i="10"/>
  <c r="N10" i="10"/>
  <c r="N15" i="12"/>
  <c r="N46" i="10"/>
  <c r="N8" i="10"/>
  <c r="N45" i="12"/>
  <c r="N45" i="10"/>
  <c r="N27" i="10"/>
  <c r="N49" i="12"/>
  <c r="N31" i="12"/>
  <c r="N16" i="12"/>
  <c r="N4" i="12"/>
  <c r="N49" i="10"/>
  <c r="N34" i="10"/>
  <c r="N20" i="10"/>
  <c r="N9" i="10"/>
  <c r="N46" i="12"/>
  <c r="N33" i="10"/>
  <c r="N44" i="12"/>
  <c r="N28" i="12"/>
  <c r="N13" i="12"/>
  <c r="N54" i="10"/>
  <c r="N44" i="10"/>
  <c r="N31" i="10"/>
  <c r="N14" i="10"/>
  <c r="N13" i="10"/>
  <c r="N21" i="12"/>
  <c r="N11" i="12"/>
  <c r="N42" i="10"/>
  <c r="N42" i="12"/>
  <c r="N27" i="12"/>
  <c r="N12" i="12"/>
  <c r="N53" i="10"/>
  <c r="N43" i="10"/>
  <c r="N30" i="10"/>
  <c r="N41" i="12"/>
  <c r="N52" i="10"/>
  <c r="Q36" i="11"/>
  <c r="Q19" i="11"/>
  <c r="Q37" i="11"/>
  <c r="Q18" i="11"/>
  <c r="Q15" i="11"/>
  <c r="Q27" i="11"/>
  <c r="Q26" i="11"/>
  <c r="Q11" i="11"/>
  <c r="Q9" i="11"/>
  <c r="Q33" i="11"/>
  <c r="Q14" i="11"/>
  <c r="Q20" i="11"/>
  <c r="Q32" i="11"/>
  <c r="Q13" i="11"/>
  <c r="Q22" i="11"/>
  <c r="Q8" i="11"/>
  <c r="N17" i="12"/>
  <c r="N67" i="12"/>
  <c r="N50" i="12"/>
  <c r="N47" i="12"/>
  <c r="N43" i="12"/>
  <c r="N20" i="12"/>
  <c r="J15" i="13"/>
  <c r="J7" i="14"/>
  <c r="J14" i="14"/>
  <c r="J13" i="13"/>
  <c r="J12" i="14"/>
  <c r="J12" i="13"/>
  <c r="J11" i="14"/>
  <c r="J8" i="13"/>
  <c r="J8" i="14"/>
  <c r="J7" i="13"/>
  <c r="J8" i="25"/>
  <c r="J19" i="25" s="1"/>
  <c r="J7" i="25"/>
  <c r="E27" i="6" s="1"/>
  <c r="M69" i="12"/>
  <c r="E69" i="12"/>
  <c r="D69" i="12"/>
  <c r="K69" i="12"/>
  <c r="C69" i="12"/>
  <c r="J69" i="12"/>
  <c r="I69" i="12"/>
  <c r="G69" i="12"/>
  <c r="F69" i="12"/>
  <c r="L69" i="12"/>
  <c r="H69" i="12"/>
  <c r="M66" i="12"/>
  <c r="M42" i="12"/>
  <c r="M41" i="12"/>
  <c r="M29" i="12"/>
  <c r="M48" i="12"/>
  <c r="M31" i="10"/>
  <c r="M36" i="10"/>
  <c r="M45" i="10"/>
  <c r="M8" i="10"/>
  <c r="H132" i="7"/>
  <c r="H130" i="7"/>
  <c r="H128" i="7"/>
  <c r="H127" i="7"/>
  <c r="O12" i="15"/>
  <c r="O7" i="14"/>
  <c r="O11" i="15"/>
  <c r="O15" i="13"/>
  <c r="O14" i="14"/>
  <c r="O7" i="24"/>
  <c r="O8" i="14"/>
  <c r="O8" i="13"/>
  <c r="O8" i="24"/>
  <c r="O14" i="15"/>
  <c r="O8" i="15"/>
  <c r="O8" i="25"/>
  <c r="O13" i="13"/>
  <c r="O12" i="14"/>
  <c r="O7" i="13"/>
  <c r="O7" i="15"/>
  <c r="O7" i="25"/>
  <c r="O12" i="13"/>
  <c r="O11" i="14"/>
  <c r="M63" i="12"/>
  <c r="M27" i="12"/>
  <c r="M11" i="12"/>
  <c r="M19" i="12"/>
  <c r="M50" i="10"/>
  <c r="M21" i="10"/>
  <c r="M10" i="10"/>
  <c r="O22" i="11"/>
  <c r="M31" i="12"/>
  <c r="O15" i="11"/>
  <c r="M43" i="10"/>
  <c r="O33" i="11"/>
  <c r="O42" i="11" s="1"/>
  <c r="M13" i="12"/>
  <c r="M35" i="12"/>
  <c r="M42" i="10"/>
  <c r="O32" i="11"/>
  <c r="M44" i="12"/>
  <c r="M67" i="12"/>
  <c r="M51" i="10"/>
  <c r="M62" i="12"/>
  <c r="M21" i="12"/>
  <c r="M10" i="12"/>
  <c r="M50" i="12"/>
  <c r="M17" i="12"/>
  <c r="M49" i="10"/>
  <c r="M34" i="10"/>
  <c r="M20" i="10"/>
  <c r="M9" i="10"/>
  <c r="O20" i="11"/>
  <c r="M15" i="12"/>
  <c r="M52" i="12"/>
  <c r="M53" i="10"/>
  <c r="M46" i="12"/>
  <c r="M27" i="10"/>
  <c r="O12" i="11"/>
  <c r="M28" i="12"/>
  <c r="M11" i="10"/>
  <c r="O26" i="11"/>
  <c r="M37" i="12"/>
  <c r="M18" i="12"/>
  <c r="M9" i="12"/>
  <c r="M46" i="10"/>
  <c r="M33" i="10"/>
  <c r="M19" i="10"/>
  <c r="O19" i="11"/>
  <c r="M54" i="12"/>
  <c r="M45" i="12"/>
  <c r="M44" i="10"/>
  <c r="M14" i="10"/>
  <c r="M13" i="10"/>
  <c r="O13" i="11"/>
  <c r="M52" i="10"/>
  <c r="M12" i="10"/>
  <c r="M65" i="12"/>
  <c r="M37" i="10"/>
  <c r="M76" i="12"/>
  <c r="M51" i="12"/>
  <c r="M36" i="12"/>
  <c r="M16" i="12"/>
  <c r="M4" i="12"/>
  <c r="M47" i="12"/>
  <c r="M56" i="10"/>
  <c r="M32" i="10"/>
  <c r="M17" i="10"/>
  <c r="M7" i="10"/>
  <c r="O18" i="11"/>
  <c r="M75" i="12"/>
  <c r="M3" i="12"/>
  <c r="M54" i="10"/>
  <c r="O36" i="11"/>
  <c r="M68" i="12"/>
  <c r="M14" i="12"/>
  <c r="M43" i="12"/>
  <c r="M30" i="10"/>
  <c r="M12" i="12"/>
  <c r="M20" i="12"/>
  <c r="M23" i="10"/>
  <c r="O14" i="11"/>
  <c r="O11" i="11"/>
  <c r="L29" i="12"/>
  <c r="O9" i="11"/>
  <c r="O8" i="11"/>
  <c r="O37" i="11"/>
  <c r="L50" i="10"/>
  <c r="L27" i="12"/>
  <c r="L54" i="10"/>
  <c r="L17" i="10"/>
  <c r="L8" i="10"/>
  <c r="L7" i="10"/>
  <c r="H96" i="7"/>
  <c r="H70" i="7"/>
  <c r="I11" i="14"/>
  <c r="H68" i="7"/>
  <c r="H67" i="7"/>
  <c r="N14" i="14"/>
  <c r="I8" i="14"/>
  <c r="J7" i="24"/>
  <c r="E26" i="6" s="1"/>
  <c r="I7" i="25"/>
  <c r="D27" i="6" s="1"/>
  <c r="N7" i="14"/>
  <c r="N8" i="25"/>
  <c r="H72" i="7"/>
  <c r="H120" i="7"/>
  <c r="N12" i="14"/>
  <c r="I7" i="14"/>
  <c r="J8" i="24"/>
  <c r="H84" i="7"/>
  <c r="H118" i="7"/>
  <c r="N11" i="14"/>
  <c r="I8" i="25"/>
  <c r="H82" i="7"/>
  <c r="H116" i="7"/>
  <c r="N14" i="15"/>
  <c r="N8" i="14"/>
  <c r="I8" i="24"/>
  <c r="H80" i="7"/>
  <c r="H115" i="7"/>
  <c r="N12" i="15"/>
  <c r="I7" i="24"/>
  <c r="H79" i="7"/>
  <c r="N11" i="15"/>
  <c r="I14" i="14"/>
  <c r="N7" i="25"/>
  <c r="I12" i="14"/>
  <c r="N8" i="24"/>
  <c r="N7" i="15"/>
  <c r="N8" i="15"/>
  <c r="N7" i="24"/>
  <c r="I12" i="13"/>
  <c r="I7" i="13"/>
  <c r="I13" i="13"/>
  <c r="I8" i="13"/>
  <c r="I15" i="13"/>
  <c r="N15" i="13"/>
  <c r="N12" i="13"/>
  <c r="N8" i="13"/>
  <c r="N7" i="13"/>
  <c r="N13" i="13"/>
  <c r="L76" i="12"/>
  <c r="L46" i="12"/>
  <c r="L35" i="12"/>
  <c r="L16" i="12"/>
  <c r="L4" i="12"/>
  <c r="L75" i="12"/>
  <c r="L45" i="12"/>
  <c r="L31" i="12"/>
  <c r="L15" i="12"/>
  <c r="L3" i="12"/>
  <c r="L68" i="12"/>
  <c r="L54" i="12"/>
  <c r="L44" i="12"/>
  <c r="L28" i="12"/>
  <c r="L14" i="12"/>
  <c r="L42" i="12"/>
  <c r="L12" i="12"/>
  <c r="L41" i="12"/>
  <c r="L11" i="12"/>
  <c r="L48" i="12"/>
  <c r="L10" i="12"/>
  <c r="L36" i="12"/>
  <c r="L67" i="12"/>
  <c r="L52" i="12"/>
  <c r="L43" i="12"/>
  <c r="L21" i="12"/>
  <c r="L13" i="12"/>
  <c r="L50" i="12"/>
  <c r="L19" i="12"/>
  <c r="L37" i="12"/>
  <c r="L17" i="12"/>
  <c r="L66" i="12"/>
  <c r="L51" i="12"/>
  <c r="L20" i="12"/>
  <c r="L65" i="12"/>
  <c r="L18" i="12"/>
  <c r="L47" i="12"/>
  <c r="L9" i="12"/>
  <c r="L45" i="10"/>
  <c r="L32" i="10"/>
  <c r="N19" i="11"/>
  <c r="N8" i="11"/>
  <c r="L31" i="10"/>
  <c r="N18" i="11"/>
  <c r="N15" i="11"/>
  <c r="L42" i="10"/>
  <c r="N33" i="11"/>
  <c r="N42" i="11" s="1"/>
  <c r="L37" i="10"/>
  <c r="L56" i="10"/>
  <c r="L44" i="10"/>
  <c r="L14" i="10"/>
  <c r="N37" i="11"/>
  <c r="L12" i="10"/>
  <c r="L9" i="10"/>
  <c r="N11" i="11"/>
  <c r="L19" i="10"/>
  <c r="L53" i="10"/>
  <c r="L43" i="10"/>
  <c r="L30" i="10"/>
  <c r="L13" i="10"/>
  <c r="N36" i="11"/>
  <c r="L27" i="10"/>
  <c r="L51" i="10"/>
  <c r="L23" i="10"/>
  <c r="L11" i="10"/>
  <c r="N13" i="11"/>
  <c r="L20" i="10"/>
  <c r="N9" i="11"/>
  <c r="L52" i="10"/>
  <c r="N14" i="11"/>
  <c r="N32" i="11"/>
  <c r="L49" i="10"/>
  <c r="N22" i="11"/>
  <c r="L36" i="10"/>
  <c r="L21" i="10"/>
  <c r="L10" i="10"/>
  <c r="N26" i="11"/>
  <c r="N12" i="11"/>
  <c r="L34" i="10"/>
  <c r="L46" i="10"/>
  <c r="L33" i="10"/>
  <c r="N20" i="11"/>
  <c r="H7" i="24"/>
  <c r="C26" i="6" s="1"/>
  <c r="H13" i="13"/>
  <c r="H7" i="13"/>
  <c r="H15" i="13"/>
  <c r="J14" i="15"/>
  <c r="J12" i="15"/>
  <c r="J8" i="15"/>
  <c r="H12" i="15"/>
  <c r="H11" i="15"/>
  <c r="M7" i="14"/>
  <c r="H8" i="15"/>
  <c r="H14" i="14"/>
  <c r="H7" i="15"/>
  <c r="H12" i="14"/>
  <c r="H7" i="14"/>
  <c r="M7" i="24"/>
  <c r="M12" i="14"/>
  <c r="M8" i="24"/>
  <c r="H60" i="7"/>
  <c r="M14" i="15"/>
  <c r="H8" i="14"/>
  <c r="M8" i="25"/>
  <c r="M11" i="15"/>
  <c r="H8" i="25"/>
  <c r="H19" i="25" s="1"/>
  <c r="M8" i="14"/>
  <c r="H58" i="7"/>
  <c r="M12" i="15"/>
  <c r="M14" i="14"/>
  <c r="M7" i="25"/>
  <c r="H56" i="7"/>
  <c r="M7" i="15"/>
  <c r="H11" i="14"/>
  <c r="H55" i="7"/>
  <c r="M8" i="15"/>
  <c r="M11" i="14"/>
  <c r="H7" i="25"/>
  <c r="C27" i="6" s="1"/>
  <c r="H14" i="15"/>
  <c r="H8" i="24"/>
  <c r="M8" i="13"/>
  <c r="M7" i="13"/>
  <c r="H12" i="13"/>
  <c r="M27" i="11"/>
  <c r="H8" i="13"/>
  <c r="M15" i="13"/>
  <c r="M12" i="13"/>
  <c r="M13" i="13"/>
  <c r="K41" i="12"/>
  <c r="K31" i="12"/>
  <c r="K29" i="12"/>
  <c r="K15" i="12"/>
  <c r="M22" i="11"/>
  <c r="K19" i="10"/>
  <c r="K7" i="10"/>
  <c r="M15" i="11"/>
  <c r="C39" i="6"/>
  <c r="H108" i="7"/>
  <c r="C38" i="6"/>
  <c r="H104" i="7"/>
  <c r="H103" i="7"/>
  <c r="K66" i="12"/>
  <c r="K50" i="12"/>
  <c r="K30" i="12"/>
  <c r="K18" i="12"/>
  <c r="K3" i="12"/>
  <c r="M12" i="11"/>
  <c r="K52" i="10"/>
  <c r="K42" i="10"/>
  <c r="K21" i="10"/>
  <c r="K9" i="10"/>
  <c r="K9" i="12"/>
  <c r="K68" i="12"/>
  <c r="K43" i="10"/>
  <c r="K65" i="12"/>
  <c r="K49" i="12"/>
  <c r="K32" i="12"/>
  <c r="K16" i="12"/>
  <c r="M36" i="11"/>
  <c r="M13" i="11"/>
  <c r="K51" i="10"/>
  <c r="K37" i="10"/>
  <c r="K20" i="10"/>
  <c r="K8" i="10"/>
  <c r="K17" i="12"/>
  <c r="K34" i="10"/>
  <c r="K44" i="10"/>
  <c r="K27" i="10"/>
  <c r="K14" i="12"/>
  <c r="K43" i="12"/>
  <c r="K63" i="12"/>
  <c r="K48" i="12"/>
  <c r="K28" i="12"/>
  <c r="K13" i="12"/>
  <c r="M33" i="11"/>
  <c r="M11" i="11"/>
  <c r="K50" i="10"/>
  <c r="K33" i="10"/>
  <c r="K17" i="10"/>
  <c r="K19" i="12"/>
  <c r="K11" i="10"/>
  <c r="K4" i="12"/>
  <c r="K10" i="10"/>
  <c r="K62" i="12"/>
  <c r="K46" i="12"/>
  <c r="K27" i="12"/>
  <c r="K12" i="12"/>
  <c r="M32" i="11"/>
  <c r="M9" i="11"/>
  <c r="K49" i="10"/>
  <c r="K31" i="10"/>
  <c r="K14" i="10"/>
  <c r="K67" i="12"/>
  <c r="K37" i="12"/>
  <c r="M19" i="11"/>
  <c r="K51" i="12"/>
  <c r="K53" i="10"/>
  <c r="K61" i="12"/>
  <c r="K44" i="12"/>
  <c r="K21" i="12"/>
  <c r="K11" i="12"/>
  <c r="M26" i="11"/>
  <c r="M8" i="11"/>
  <c r="K46" i="10"/>
  <c r="K32" i="10"/>
  <c r="K13" i="10"/>
  <c r="K56" i="12"/>
  <c r="K52" i="12"/>
  <c r="K54" i="10"/>
  <c r="K36" i="12"/>
  <c r="K23" i="10"/>
  <c r="K75" i="12"/>
  <c r="K54" i="12"/>
  <c r="K42" i="12"/>
  <c r="K20" i="12"/>
  <c r="K10" i="12"/>
  <c r="M20" i="11"/>
  <c r="K56" i="10"/>
  <c r="K45" i="10"/>
  <c r="K30" i="10"/>
  <c r="K12" i="10"/>
  <c r="K47" i="12"/>
  <c r="K76" i="12"/>
  <c r="K45" i="12"/>
  <c r="M18" i="11"/>
  <c r="M37" i="11"/>
  <c r="E11" i="14"/>
  <c r="I23" i="10"/>
  <c r="E12" i="15"/>
  <c r="E11" i="15"/>
  <c r="E14" i="15"/>
  <c r="E14" i="14"/>
  <c r="E12" i="14"/>
  <c r="F26" i="6"/>
  <c r="H47" i="7"/>
  <c r="F27" i="6"/>
  <c r="H91" i="7"/>
  <c r="H49" i="7"/>
  <c r="H92" i="7"/>
  <c r="H45" i="7"/>
  <c r="H44" i="7"/>
  <c r="F11" i="15"/>
  <c r="F8" i="15"/>
  <c r="J7" i="15"/>
  <c r="F12" i="15"/>
  <c r="F14" i="15"/>
  <c r="J11" i="15"/>
  <c r="F12" i="14"/>
  <c r="F8" i="25"/>
  <c r="F19" i="25" s="1"/>
  <c r="F7" i="25"/>
  <c r="F11" i="14"/>
  <c r="E8" i="25"/>
  <c r="E19" i="25" s="1"/>
  <c r="E7" i="25"/>
  <c r="C7" i="25"/>
  <c r="D8" i="25"/>
  <c r="D19" i="25" s="1"/>
  <c r="D7" i="25"/>
  <c r="C8" i="25"/>
  <c r="C19" i="25" s="1"/>
  <c r="F14" i="14"/>
  <c r="F13" i="13"/>
  <c r="J76" i="12"/>
  <c r="J47" i="12"/>
  <c r="J43" i="12"/>
  <c r="J28" i="12"/>
  <c r="J14" i="12"/>
  <c r="E13" i="13"/>
  <c r="I76" i="12"/>
  <c r="I66" i="12"/>
  <c r="I61" i="12"/>
  <c r="I51" i="12"/>
  <c r="I47" i="12"/>
  <c r="I43" i="12"/>
  <c r="I36" i="12"/>
  <c r="I28" i="12"/>
  <c r="I18" i="12"/>
  <c r="I14" i="12"/>
  <c r="I10" i="12"/>
  <c r="I27" i="12"/>
  <c r="I9" i="12"/>
  <c r="D7" i="24"/>
  <c r="J12" i="12"/>
  <c r="I62" i="12"/>
  <c r="I37" i="12"/>
  <c r="I15" i="12"/>
  <c r="F12" i="13"/>
  <c r="J56" i="12"/>
  <c r="J50" i="12"/>
  <c r="J27" i="12"/>
  <c r="J17" i="12"/>
  <c r="J13" i="12"/>
  <c r="E7" i="24"/>
  <c r="E12" i="13"/>
  <c r="I75" i="12"/>
  <c r="I65" i="12"/>
  <c r="I56" i="12"/>
  <c r="I50" i="12"/>
  <c r="I46" i="12"/>
  <c r="I42" i="12"/>
  <c r="I32" i="12"/>
  <c r="I17" i="12"/>
  <c r="I13" i="12"/>
  <c r="E8" i="24"/>
  <c r="F8" i="13"/>
  <c r="J68" i="12"/>
  <c r="J45" i="12"/>
  <c r="I52" i="12"/>
  <c r="I44" i="12"/>
  <c r="I19" i="12"/>
  <c r="I3" i="12"/>
  <c r="D8" i="24"/>
  <c r="C7" i="24"/>
  <c r="E8" i="13"/>
  <c r="I68" i="12"/>
  <c r="I63" i="12"/>
  <c r="I54" i="12"/>
  <c r="I49" i="12"/>
  <c r="I45" i="12"/>
  <c r="I41" i="12"/>
  <c r="I30" i="12"/>
  <c r="I20" i="12"/>
  <c r="I16" i="12"/>
  <c r="I12" i="12"/>
  <c r="I4" i="12"/>
  <c r="F8" i="24"/>
  <c r="C8" i="24"/>
  <c r="F15" i="13"/>
  <c r="F7" i="13"/>
  <c r="J67" i="12"/>
  <c r="J37" i="12"/>
  <c r="J15" i="12"/>
  <c r="J11" i="12"/>
  <c r="F7" i="24"/>
  <c r="E15" i="13"/>
  <c r="E7" i="13"/>
  <c r="I67" i="12"/>
  <c r="I48" i="12"/>
  <c r="I29" i="12"/>
  <c r="I11" i="12"/>
  <c r="I52" i="10"/>
  <c r="I46" i="10"/>
  <c r="I42" i="10"/>
  <c r="I10" i="10"/>
  <c r="I34" i="10"/>
  <c r="I30" i="10"/>
  <c r="I11" i="10"/>
  <c r="I53" i="10"/>
  <c r="I43" i="10"/>
  <c r="I27" i="10"/>
  <c r="I56" i="10"/>
  <c r="I51" i="10"/>
  <c r="I45" i="10"/>
  <c r="I37" i="10"/>
  <c r="I33" i="10"/>
  <c r="I14" i="10"/>
  <c r="I9" i="10"/>
  <c r="I32" i="10"/>
  <c r="I21" i="10"/>
  <c r="I13" i="10"/>
  <c r="I54" i="10"/>
  <c r="I50" i="10"/>
  <c r="I44" i="10"/>
  <c r="I31" i="10"/>
  <c r="I20" i="10"/>
  <c r="I12" i="10"/>
  <c r="I8" i="10"/>
  <c r="I19" i="10"/>
  <c r="I49" i="10"/>
  <c r="I17" i="10"/>
  <c r="I7" i="10"/>
  <c r="L37" i="11"/>
  <c r="J33" i="11"/>
  <c r="J15" i="11"/>
  <c r="J8" i="11"/>
  <c r="J18" i="11"/>
  <c r="L36" i="11"/>
  <c r="J32" i="11"/>
  <c r="J13" i="11"/>
  <c r="J22" i="11"/>
  <c r="J27" i="11"/>
  <c r="J12" i="11"/>
  <c r="J11" i="11"/>
  <c r="J26" i="11"/>
  <c r="L13" i="11"/>
  <c r="J20" i="11"/>
  <c r="J37" i="11"/>
  <c r="J19" i="11"/>
  <c r="J9" i="11"/>
  <c r="J36" i="11"/>
  <c r="C12" i="13"/>
  <c r="C15" i="13"/>
  <c r="D12" i="13"/>
  <c r="C13" i="13"/>
  <c r="D15" i="13"/>
  <c r="D13" i="13"/>
  <c r="A1" i="25"/>
  <c r="A1" i="24"/>
  <c r="H34" i="7"/>
  <c r="H38" i="7"/>
  <c r="H36" i="7"/>
  <c r="H33" i="7"/>
  <c r="E22" i="6"/>
  <c r="E21" i="6"/>
  <c r="F31" i="10"/>
  <c r="H66" i="12"/>
  <c r="H61" i="12"/>
  <c r="H49" i="12"/>
  <c r="H42" i="12"/>
  <c r="H30" i="12"/>
  <c r="H19" i="12"/>
  <c r="H14" i="12"/>
  <c r="H10" i="12"/>
  <c r="G76" i="12"/>
  <c r="G63" i="12"/>
  <c r="G51" i="12"/>
  <c r="G44" i="12"/>
  <c r="G37" i="12"/>
  <c r="G19" i="12"/>
  <c r="G13" i="12"/>
  <c r="H21" i="10"/>
  <c r="G56" i="10"/>
  <c r="G50" i="10"/>
  <c r="G45" i="10"/>
  <c r="G37" i="10"/>
  <c r="G31" i="10"/>
  <c r="G21" i="10"/>
  <c r="G14" i="10"/>
  <c r="G10" i="10"/>
  <c r="I36" i="11"/>
  <c r="G49" i="10"/>
  <c r="G33" i="10"/>
  <c r="G12" i="10"/>
  <c r="H75" i="12"/>
  <c r="H44" i="12"/>
  <c r="H15" i="12"/>
  <c r="G36" i="12"/>
  <c r="G4" i="12"/>
  <c r="G42" i="10"/>
  <c r="G23" i="10"/>
  <c r="G11" i="10"/>
  <c r="F34" i="10"/>
  <c r="F30" i="10"/>
  <c r="H65" i="12"/>
  <c r="H54" i="12"/>
  <c r="H46" i="12"/>
  <c r="H41" i="12"/>
  <c r="H29" i="12"/>
  <c r="H18" i="12"/>
  <c r="H13" i="12"/>
  <c r="H9" i="12"/>
  <c r="G75" i="12"/>
  <c r="G62" i="12"/>
  <c r="G54" i="12"/>
  <c r="G42" i="12"/>
  <c r="G30" i="12"/>
  <c r="G16" i="12"/>
  <c r="G12" i="12"/>
  <c r="G10" i="12"/>
  <c r="G54" i="10"/>
  <c r="G51" i="10"/>
  <c r="G44" i="10"/>
  <c r="G34" i="10"/>
  <c r="G30" i="10"/>
  <c r="G20" i="10"/>
  <c r="G13" i="10"/>
  <c r="G9" i="10"/>
  <c r="G15" i="12"/>
  <c r="G53" i="10"/>
  <c r="G43" i="10"/>
  <c r="G19" i="10"/>
  <c r="G8" i="10"/>
  <c r="H62" i="12"/>
  <c r="H51" i="12"/>
  <c r="H27" i="12"/>
  <c r="H11" i="12"/>
  <c r="G65" i="12"/>
  <c r="G52" i="12"/>
  <c r="G27" i="12"/>
  <c r="G11" i="12"/>
  <c r="G52" i="10"/>
  <c r="G32" i="10"/>
  <c r="G17" i="10"/>
  <c r="G7" i="10"/>
  <c r="F33" i="10"/>
  <c r="H76" i="12"/>
  <c r="H63" i="12"/>
  <c r="H52" i="12"/>
  <c r="H45" i="12"/>
  <c r="H37" i="12"/>
  <c r="H28" i="12"/>
  <c r="H16" i="12"/>
  <c r="H12" i="12"/>
  <c r="H4" i="12"/>
  <c r="G66" i="12"/>
  <c r="G61" i="12"/>
  <c r="G46" i="12"/>
  <c r="G41" i="12"/>
  <c r="G29" i="12"/>
  <c r="G18" i="12"/>
  <c r="G9" i="12"/>
  <c r="G27" i="10"/>
  <c r="F32" i="10"/>
  <c r="H36" i="12"/>
  <c r="H3" i="12"/>
  <c r="G45" i="12"/>
  <c r="G14" i="12"/>
  <c r="G46" i="10"/>
  <c r="D12" i="11"/>
  <c r="D13" i="11"/>
  <c r="C22" i="6"/>
  <c r="C17" i="6"/>
  <c r="C12" i="6"/>
  <c r="C7" i="6"/>
  <c r="M49" i="7"/>
  <c r="M45" i="7"/>
  <c r="M38" i="7"/>
  <c r="M34" i="7"/>
  <c r="N25" i="7"/>
  <c r="N21" i="7"/>
  <c r="H23" i="7"/>
  <c r="M10" i="7"/>
  <c r="M7" i="7"/>
  <c r="D12" i="15"/>
  <c r="I8" i="15"/>
  <c r="F7" i="15"/>
  <c r="F7" i="14"/>
  <c r="D76" i="12"/>
  <c r="H68" i="12"/>
  <c r="E67" i="12"/>
  <c r="C66" i="12"/>
  <c r="E62" i="12"/>
  <c r="C61" i="12"/>
  <c r="E52" i="12"/>
  <c r="C51" i="12"/>
  <c r="G49" i="12"/>
  <c r="F21" i="6"/>
  <c r="F16" i="6"/>
  <c r="F11" i="6"/>
  <c r="F6" i="6"/>
  <c r="L49" i="7"/>
  <c r="L45" i="7"/>
  <c r="L38" i="7"/>
  <c r="L34" i="7"/>
  <c r="O25" i="7"/>
  <c r="O21" i="7"/>
  <c r="H25" i="7"/>
  <c r="L10" i="7"/>
  <c r="L7" i="7"/>
  <c r="C12" i="15"/>
  <c r="E7" i="15"/>
  <c r="E7" i="14"/>
  <c r="D7" i="13"/>
  <c r="C76" i="12"/>
  <c r="G68" i="12"/>
  <c r="D67" i="12"/>
  <c r="F63" i="12"/>
  <c r="D62" i="12"/>
  <c r="H56" i="12"/>
  <c r="F54" i="12"/>
  <c r="D52" i="12"/>
  <c r="H50" i="12"/>
  <c r="F49" i="12"/>
  <c r="D47" i="12"/>
  <c r="F44" i="12"/>
  <c r="D43" i="12"/>
  <c r="E16" i="6"/>
  <c r="E11" i="6"/>
  <c r="E6" i="6"/>
  <c r="O47" i="7"/>
  <c r="O44" i="7"/>
  <c r="O36" i="7"/>
  <c r="O33" i="7"/>
  <c r="O23" i="7"/>
  <c r="O20" i="7"/>
  <c r="L12" i="7"/>
  <c r="L8" i="7"/>
  <c r="H12" i="7"/>
  <c r="D14" i="15"/>
  <c r="I11" i="15"/>
  <c r="D7" i="15"/>
  <c r="D14" i="14"/>
  <c r="F8" i="14"/>
  <c r="D7" i="14"/>
  <c r="C7" i="13"/>
  <c r="E68" i="12"/>
  <c r="F68" i="12" s="1"/>
  <c r="C67" i="12"/>
  <c r="E63" i="12"/>
  <c r="C62" i="12"/>
  <c r="G56" i="12"/>
  <c r="E54" i="12"/>
  <c r="C52" i="12"/>
  <c r="G50" i="12"/>
  <c r="E49" i="12"/>
  <c r="C47" i="12"/>
  <c r="E44" i="12"/>
  <c r="C43" i="12"/>
  <c r="D21" i="6"/>
  <c r="D16" i="6"/>
  <c r="D11" i="6"/>
  <c r="D6" i="6"/>
  <c r="N47" i="7"/>
  <c r="N44" i="7"/>
  <c r="N36" i="7"/>
  <c r="N33" i="7"/>
  <c r="N23" i="7"/>
  <c r="N20" i="7"/>
  <c r="M12" i="7"/>
  <c r="M8" i="7"/>
  <c r="H10" i="7"/>
  <c r="C14" i="15"/>
  <c r="E8" i="15"/>
  <c r="C7" i="15"/>
  <c r="C14" i="14"/>
  <c r="E8" i="14"/>
  <c r="C7" i="14"/>
  <c r="D8" i="13"/>
  <c r="A1" i="13"/>
  <c r="D68" i="12"/>
  <c r="F65" i="12"/>
  <c r="D63" i="12"/>
  <c r="F56" i="12"/>
  <c r="D54" i="12"/>
  <c r="F50" i="12"/>
  <c r="D49" i="12"/>
  <c r="F45" i="12"/>
  <c r="D44" i="12"/>
  <c r="F41" i="12"/>
  <c r="F40" i="12" s="1"/>
  <c r="C21" i="6"/>
  <c r="C16" i="6"/>
  <c r="C11" i="6"/>
  <c r="C6" i="6"/>
  <c r="M47" i="7"/>
  <c r="M44" i="7"/>
  <c r="M36" i="7"/>
  <c r="M33" i="7"/>
  <c r="M23" i="7"/>
  <c r="M20" i="7"/>
  <c r="N12" i="7"/>
  <c r="N8" i="7"/>
  <c r="H8" i="7"/>
  <c r="I12" i="15"/>
  <c r="D8" i="15"/>
  <c r="A1" i="15"/>
  <c r="C12" i="14"/>
  <c r="D8" i="14"/>
  <c r="A2" i="14"/>
  <c r="C8" i="13"/>
  <c r="F75" i="12"/>
  <c r="C68" i="12"/>
  <c r="E65" i="12"/>
  <c r="C63" i="12"/>
  <c r="E56" i="12"/>
  <c r="C54" i="12"/>
  <c r="E50" i="12"/>
  <c r="C49" i="12"/>
  <c r="E45" i="12"/>
  <c r="C44" i="12"/>
  <c r="E41" i="12"/>
  <c r="F22" i="6"/>
  <c r="F17" i="6"/>
  <c r="F12" i="6"/>
  <c r="F7" i="6"/>
  <c r="A1" i="6"/>
  <c r="L47" i="7"/>
  <c r="L44" i="7"/>
  <c r="L36" i="7"/>
  <c r="L33" i="7"/>
  <c r="L23" i="7"/>
  <c r="L20" i="7"/>
  <c r="O12" i="7"/>
  <c r="O8" i="7"/>
  <c r="H7" i="7"/>
  <c r="A1" i="9"/>
  <c r="D22" i="6"/>
  <c r="D17" i="6"/>
  <c r="D12" i="6"/>
  <c r="D7" i="6"/>
  <c r="N49" i="7"/>
  <c r="N45" i="7"/>
  <c r="N38" i="7"/>
  <c r="N34" i="7"/>
  <c r="M25" i="7"/>
  <c r="M21" i="7"/>
  <c r="H21" i="7"/>
  <c r="N10" i="7"/>
  <c r="N7" i="7"/>
  <c r="O38" i="7"/>
  <c r="F67" i="12"/>
  <c r="C46" i="12"/>
  <c r="E43" i="12"/>
  <c r="E36" i="12"/>
  <c r="C32" i="12"/>
  <c r="E28" i="12"/>
  <c r="C27" i="12"/>
  <c r="E18" i="12"/>
  <c r="C17" i="12"/>
  <c r="E14" i="12"/>
  <c r="C13" i="12"/>
  <c r="E10" i="12"/>
  <c r="C9" i="12"/>
  <c r="G3" i="12"/>
  <c r="C56" i="10"/>
  <c r="E52" i="10"/>
  <c r="C51" i="10"/>
  <c r="E46" i="10"/>
  <c r="C45" i="10"/>
  <c r="E42" i="10"/>
  <c r="C37" i="10"/>
  <c r="E32" i="10"/>
  <c r="H30" i="10"/>
  <c r="F27" i="10"/>
  <c r="D21" i="10"/>
  <c r="H19" i="10"/>
  <c r="F17" i="10"/>
  <c r="D14" i="10"/>
  <c r="H12" i="10"/>
  <c r="F11" i="10"/>
  <c r="D10" i="10"/>
  <c r="H8" i="10"/>
  <c r="F7" i="10"/>
  <c r="H36" i="11"/>
  <c r="C36" i="11"/>
  <c r="E32" i="11"/>
  <c r="H26" i="11"/>
  <c r="C26" i="11"/>
  <c r="I19" i="11"/>
  <c r="D19" i="11"/>
  <c r="D18" i="11"/>
  <c r="G14" i="11"/>
  <c r="H11" i="11"/>
  <c r="E13" i="11"/>
  <c r="I9" i="11"/>
  <c r="G8" i="11"/>
  <c r="F81" i="12" s="1"/>
  <c r="E11" i="10"/>
  <c r="C10" i="10"/>
  <c r="E7" i="10"/>
  <c r="G37" i="11"/>
  <c r="I33" i="11"/>
  <c r="D33" i="11"/>
  <c r="G27" i="11"/>
  <c r="I22" i="11"/>
  <c r="E17" i="6"/>
  <c r="O34" i="7"/>
  <c r="D11" i="15"/>
  <c r="D12" i="14"/>
  <c r="F76" i="12"/>
  <c r="F66" i="12"/>
  <c r="F62" i="12"/>
  <c r="H47" i="12"/>
  <c r="D45" i="12"/>
  <c r="F42" i="12"/>
  <c r="F37" i="12"/>
  <c r="D36" i="12"/>
  <c r="F29" i="12"/>
  <c r="D28" i="12"/>
  <c r="H20" i="12"/>
  <c r="F19" i="12"/>
  <c r="D18" i="12"/>
  <c r="F15" i="12"/>
  <c r="D14" i="12"/>
  <c r="F11" i="12"/>
  <c r="D10" i="12"/>
  <c r="F3" i="12"/>
  <c r="F23" i="10"/>
  <c r="H54" i="10"/>
  <c r="F53" i="10"/>
  <c r="D52" i="10"/>
  <c r="H50" i="10"/>
  <c r="F49" i="10"/>
  <c r="D46" i="10"/>
  <c r="H44" i="10"/>
  <c r="F43" i="10"/>
  <c r="D42" i="10"/>
  <c r="H34" i="10"/>
  <c r="C32" i="10"/>
  <c r="E27" i="10"/>
  <c r="C21" i="10"/>
  <c r="E17" i="10"/>
  <c r="C14" i="10"/>
  <c r="E12" i="6"/>
  <c r="L25" i="7"/>
  <c r="C11" i="15"/>
  <c r="E76" i="12"/>
  <c r="E66" i="12"/>
  <c r="F61" i="12"/>
  <c r="F52" i="12"/>
  <c r="G47" i="12"/>
  <c r="C45" i="12"/>
  <c r="E42" i="12"/>
  <c r="E37" i="12"/>
  <c r="C36" i="12"/>
  <c r="E29" i="12"/>
  <c r="C28" i="12"/>
  <c r="G20" i="12"/>
  <c r="E19" i="12"/>
  <c r="C18" i="12"/>
  <c r="E15" i="12"/>
  <c r="C14" i="12"/>
  <c r="E11" i="12"/>
  <c r="C10" i="12"/>
  <c r="E3" i="12"/>
  <c r="E23" i="10"/>
  <c r="E53" i="10"/>
  <c r="C52" i="10"/>
  <c r="E49" i="10"/>
  <c r="C46" i="10"/>
  <c r="E43" i="10"/>
  <c r="C42" i="10"/>
  <c r="E33" i="10"/>
  <c r="H31" i="10"/>
  <c r="D27" i="10"/>
  <c r="H20" i="10"/>
  <c r="F19" i="10"/>
  <c r="D17" i="10"/>
  <c r="H13" i="10"/>
  <c r="F12" i="10"/>
  <c r="D11" i="10"/>
  <c r="H9" i="10"/>
  <c r="F8" i="10"/>
  <c r="D7" i="10"/>
  <c r="G36" i="11"/>
  <c r="I32" i="11"/>
  <c r="D32" i="11"/>
  <c r="G26" i="11"/>
  <c r="H22" i="11"/>
  <c r="H20" i="11"/>
  <c r="C20" i="11"/>
  <c r="C11" i="11"/>
  <c r="H13" i="11"/>
  <c r="E15" i="11"/>
  <c r="C13" i="11"/>
  <c r="G9" i="11"/>
  <c r="D8" i="11"/>
  <c r="F45" i="10"/>
  <c r="D34" i="10"/>
  <c r="C19" i="10"/>
  <c r="E7" i="6"/>
  <c r="L21" i="7"/>
  <c r="C8" i="15"/>
  <c r="E75" i="12"/>
  <c r="D66" i="12"/>
  <c r="E61" i="12"/>
  <c r="F51" i="12"/>
  <c r="F47" i="12"/>
  <c r="D42" i="12"/>
  <c r="D37" i="12"/>
  <c r="H32" i="12"/>
  <c r="F30" i="12"/>
  <c r="D29" i="12"/>
  <c r="F20" i="12"/>
  <c r="D19" i="12"/>
  <c r="H17" i="12"/>
  <c r="F16" i="12"/>
  <c r="D15" i="12"/>
  <c r="F12" i="12"/>
  <c r="D11" i="12"/>
  <c r="F4" i="12"/>
  <c r="D3" i="12"/>
  <c r="D23" i="10"/>
  <c r="H56" i="10"/>
  <c r="F54" i="10"/>
  <c r="D53" i="10"/>
  <c r="H51" i="10"/>
  <c r="F50" i="10"/>
  <c r="D49" i="10"/>
  <c r="H45" i="10"/>
  <c r="F44" i="10"/>
  <c r="D43" i="10"/>
  <c r="H37" i="10"/>
  <c r="D33" i="10"/>
  <c r="E30" i="10"/>
  <c r="C27" i="10"/>
  <c r="E19" i="10"/>
  <c r="C17" i="10"/>
  <c r="E12" i="10"/>
  <c r="C11" i="10"/>
  <c r="E8" i="10"/>
  <c r="C7" i="10"/>
  <c r="E37" i="11"/>
  <c r="H33" i="11"/>
  <c r="C33" i="11"/>
  <c r="E27" i="11"/>
  <c r="G22" i="11"/>
  <c r="H19" i="11"/>
  <c r="C19" i="11"/>
  <c r="I15" i="11"/>
  <c r="G13" i="11"/>
  <c r="D15" i="11"/>
  <c r="E12" i="11"/>
  <c r="E9" i="11"/>
  <c r="C8" i="11"/>
  <c r="H42" i="10"/>
  <c r="H32" i="10"/>
  <c r="C30" i="10"/>
  <c r="H20" i="7"/>
  <c r="I14" i="15"/>
  <c r="I7" i="15"/>
  <c r="D75" i="12"/>
  <c r="D65" i="12"/>
  <c r="D61" i="12"/>
  <c r="E51" i="12"/>
  <c r="E47" i="12"/>
  <c r="C42" i="12"/>
  <c r="C37" i="12"/>
  <c r="G32" i="12"/>
  <c r="E30" i="12"/>
  <c r="C29" i="12"/>
  <c r="E20" i="12"/>
  <c r="C19" i="12"/>
  <c r="G17" i="12"/>
  <c r="E16" i="12"/>
  <c r="C15" i="12"/>
  <c r="E12" i="12"/>
  <c r="C11" i="12"/>
  <c r="E4" i="12"/>
  <c r="C3" i="12"/>
  <c r="C23" i="10"/>
  <c r="E54" i="10"/>
  <c r="C53" i="10"/>
  <c r="E50" i="10"/>
  <c r="C49" i="10"/>
  <c r="E44" i="10"/>
  <c r="C43" i="10"/>
  <c r="E34" i="10"/>
  <c r="C33" i="10"/>
  <c r="D30" i="10"/>
  <c r="F20" i="10"/>
  <c r="D19" i="10"/>
  <c r="H14" i="10"/>
  <c r="F13" i="10"/>
  <c r="D12" i="10"/>
  <c r="H10" i="10"/>
  <c r="F9" i="10"/>
  <c r="D8" i="10"/>
  <c r="A1" i="10"/>
  <c r="E36" i="11"/>
  <c r="H32" i="11"/>
  <c r="C32" i="11"/>
  <c r="E26" i="11"/>
  <c r="E22" i="11"/>
  <c r="G20" i="11"/>
  <c r="I18" i="11"/>
  <c r="H15" i="11"/>
  <c r="I12" i="11"/>
  <c r="C15" i="11"/>
  <c r="D9" i="11"/>
  <c r="A1" i="11"/>
  <c r="D44" i="10"/>
  <c r="F37" i="10"/>
  <c r="E31" i="10"/>
  <c r="E20" i="10"/>
  <c r="O10" i="7"/>
  <c r="D11" i="14"/>
  <c r="C75" i="12"/>
  <c r="C65" i="12"/>
  <c r="D56" i="12"/>
  <c r="D51" i="12"/>
  <c r="F46" i="12"/>
  <c r="H43" i="12"/>
  <c r="D41" i="12"/>
  <c r="F32" i="12"/>
  <c r="D30" i="12"/>
  <c r="F27" i="12"/>
  <c r="D20" i="12"/>
  <c r="F17" i="12"/>
  <c r="D16" i="12"/>
  <c r="F13" i="12"/>
  <c r="D12" i="12"/>
  <c r="F9" i="12"/>
  <c r="D4" i="12"/>
  <c r="A1" i="12"/>
  <c r="F56" i="10"/>
  <c r="D54" i="10"/>
  <c r="H52" i="10"/>
  <c r="F51" i="10"/>
  <c r="D50" i="10"/>
  <c r="O45" i="7"/>
  <c r="A1" i="7"/>
  <c r="C8" i="14"/>
  <c r="C12" i="11"/>
  <c r="H12" i="11"/>
  <c r="H18" i="11"/>
  <c r="D22" i="11"/>
  <c r="G32" i="11"/>
  <c r="F14" i="10"/>
  <c r="H27" i="10"/>
  <c r="E37" i="10"/>
  <c r="H53" i="10"/>
  <c r="D13" i="12"/>
  <c r="F18" i="12"/>
  <c r="F43" i="12"/>
  <c r="C27" i="11"/>
  <c r="C31" i="10"/>
  <c r="C4" i="12"/>
  <c r="H8" i="11"/>
  <c r="D26" i="11"/>
  <c r="H17" i="10"/>
  <c r="H49" i="10"/>
  <c r="D9" i="12"/>
  <c r="F14" i="12"/>
  <c r="D32" i="12"/>
  <c r="G67" i="12"/>
  <c r="D14" i="11"/>
  <c r="E20" i="11"/>
  <c r="D27" i="11"/>
  <c r="D36" i="11"/>
  <c r="C9" i="10"/>
  <c r="C12" i="10"/>
  <c r="C20" i="10"/>
  <c r="H43" i="10"/>
  <c r="C50" i="10"/>
  <c r="E56" i="10"/>
  <c r="E9" i="12"/>
  <c r="C20" i="12"/>
  <c r="E32" i="12"/>
  <c r="E46" i="12"/>
  <c r="H67" i="12"/>
  <c r="O7" i="7"/>
  <c r="I13" i="11"/>
  <c r="C30" i="12"/>
  <c r="H11" i="10"/>
  <c r="G19" i="11"/>
  <c r="D9" i="10"/>
  <c r="D20" i="10"/>
  <c r="C44" i="10"/>
  <c r="F10" i="12"/>
  <c r="D27" i="12"/>
  <c r="F36" i="12"/>
  <c r="C50" i="12"/>
  <c r="O49" i="7"/>
  <c r="G33" i="11"/>
  <c r="F42" i="10"/>
  <c r="H14" i="11"/>
  <c r="C8" i="10"/>
  <c r="D56" i="10"/>
  <c r="D46" i="12"/>
  <c r="I8" i="11"/>
  <c r="I14" i="11"/>
  <c r="C9" i="11"/>
  <c r="E14" i="11"/>
  <c r="G15" i="11"/>
  <c r="H27" i="11"/>
  <c r="D37" i="11"/>
  <c r="C13" i="10"/>
  <c r="D51" i="10"/>
  <c r="H9" i="11"/>
  <c r="G11" i="11"/>
  <c r="C18" i="11"/>
  <c r="I20" i="11"/>
  <c r="I26" i="11"/>
  <c r="H37" i="11"/>
  <c r="E9" i="10"/>
  <c r="D13" i="10"/>
  <c r="E21" i="10"/>
  <c r="H33" i="10"/>
  <c r="D45" i="10"/>
  <c r="E51" i="10"/>
  <c r="C16" i="12"/>
  <c r="E27" i="12"/>
  <c r="D50" i="12"/>
  <c r="E8" i="11"/>
  <c r="D20" i="11"/>
  <c r="H46" i="10"/>
  <c r="E13" i="12"/>
  <c r="G43" i="12"/>
  <c r="E19" i="11"/>
  <c r="D31" i="10"/>
  <c r="C11" i="14"/>
  <c r="D11" i="11"/>
  <c r="I11" i="11"/>
  <c r="E18" i="11"/>
  <c r="I27" i="11"/>
  <c r="E10" i="10"/>
  <c r="E13" i="10"/>
  <c r="F21" i="10"/>
  <c r="C34" i="10"/>
  <c r="E45" i="10"/>
  <c r="F52" i="10"/>
  <c r="H23" i="10"/>
  <c r="D17" i="12"/>
  <c r="F28" i="12"/>
  <c r="H7" i="10"/>
  <c r="C54" i="10"/>
  <c r="C14" i="11"/>
  <c r="C37" i="11"/>
  <c r="E11" i="11"/>
  <c r="G12" i="11"/>
  <c r="G18" i="11"/>
  <c r="C22" i="11"/>
  <c r="E33" i="11"/>
  <c r="I37" i="11"/>
  <c r="F10" i="10"/>
  <c r="E14" i="10"/>
  <c r="D37" i="10"/>
  <c r="F46" i="10"/>
  <c r="D32" i="10"/>
  <c r="C12" i="12"/>
  <c r="E17" i="12"/>
  <c r="G28" i="12"/>
  <c r="C41" i="12"/>
  <c r="C56" i="12"/>
  <c r="H94" i="9" l="1"/>
  <c r="AD37" i="11"/>
  <c r="AD8" i="13"/>
  <c r="AE8" i="13" s="1"/>
  <c r="AD12" i="15"/>
  <c r="AE12" i="15" s="1"/>
  <c r="AA9" i="14"/>
  <c r="AA10" i="14" s="1"/>
  <c r="AD33" i="11"/>
  <c r="AE33" i="11" s="1"/>
  <c r="S38" i="10"/>
  <c r="V22" i="10"/>
  <c r="AB11" i="15"/>
  <c r="AC11" i="15" s="1"/>
  <c r="H220" i="7"/>
  <c r="H76" i="9"/>
  <c r="H218" i="7"/>
  <c r="C112" i="9"/>
  <c r="AA9" i="15"/>
  <c r="AA10" i="15" s="1"/>
  <c r="AA15" i="15"/>
  <c r="V55" i="10"/>
  <c r="AB8" i="15"/>
  <c r="AC8" i="15" s="1"/>
  <c r="AB8" i="14"/>
  <c r="AC8" i="14" s="1"/>
  <c r="AB11" i="14"/>
  <c r="AC11" i="14" s="1"/>
  <c r="C115" i="9"/>
  <c r="AD8" i="24"/>
  <c r="AE8" i="24" s="1"/>
  <c r="AD11" i="15"/>
  <c r="AE11" i="15" s="1"/>
  <c r="AD12" i="14"/>
  <c r="AE12" i="14" s="1"/>
  <c r="F46" i="6"/>
  <c r="Z19" i="24"/>
  <c r="Z10" i="24"/>
  <c r="AB7" i="24"/>
  <c r="AC7" i="24" s="1"/>
  <c r="D227" i="7"/>
  <c r="AB8" i="24"/>
  <c r="AC8" i="24" s="1"/>
  <c r="Z20" i="24"/>
  <c r="AB7" i="13"/>
  <c r="AC7" i="13" s="1"/>
  <c r="C227" i="7"/>
  <c r="Z24" i="13"/>
  <c r="Z10" i="13"/>
  <c r="AA19" i="24"/>
  <c r="AA10" i="24"/>
  <c r="G227" i="7"/>
  <c r="Z9" i="15"/>
  <c r="AB7" i="15"/>
  <c r="AC7" i="15" s="1"/>
  <c r="AB8" i="13"/>
  <c r="AC8" i="13" s="1"/>
  <c r="Z25" i="13"/>
  <c r="AB12" i="15"/>
  <c r="AC12" i="15" s="1"/>
  <c r="G230" i="7"/>
  <c r="Z13" i="15"/>
  <c r="AD7" i="24"/>
  <c r="AE7" i="24" s="1"/>
  <c r="AD7" i="25"/>
  <c r="AE7" i="25" s="1"/>
  <c r="AB12" i="13"/>
  <c r="AC12" i="13" s="1"/>
  <c r="Z19" i="25"/>
  <c r="AB8" i="25"/>
  <c r="AC8" i="25" s="1"/>
  <c r="AA13" i="15"/>
  <c r="AD27" i="11"/>
  <c r="AE27" i="11" s="1"/>
  <c r="AD14" i="15"/>
  <c r="AE14" i="15" s="1"/>
  <c r="AA16" i="13"/>
  <c r="F47" i="6"/>
  <c r="AB7" i="25"/>
  <c r="AC7" i="25" s="1"/>
  <c r="E227" i="7"/>
  <c r="Z18" i="25"/>
  <c r="Z9" i="25"/>
  <c r="AD26" i="11"/>
  <c r="AE26" i="11" s="1"/>
  <c r="AB15" i="13"/>
  <c r="AC15" i="13" s="1"/>
  <c r="C232" i="7"/>
  <c r="Z16" i="13"/>
  <c r="AA18" i="25"/>
  <c r="AA9" i="25"/>
  <c r="V47" i="10"/>
  <c r="AB13" i="13"/>
  <c r="AC13" i="13" s="1"/>
  <c r="C230" i="7"/>
  <c r="Z14" i="13"/>
  <c r="F227" i="7"/>
  <c r="Z9" i="14"/>
  <c r="AB7" i="14"/>
  <c r="AC7" i="14" s="1"/>
  <c r="AB14" i="15"/>
  <c r="AC14" i="15" s="1"/>
  <c r="G232" i="7"/>
  <c r="Z15" i="15"/>
  <c r="AA10" i="13"/>
  <c r="AA11" i="13" s="1"/>
  <c r="AA24" i="13"/>
  <c r="H229" i="7"/>
  <c r="AD14" i="14"/>
  <c r="AE14" i="14" s="1"/>
  <c r="V82" i="12"/>
  <c r="H231" i="7"/>
  <c r="AD11" i="14"/>
  <c r="AE11" i="14" s="1"/>
  <c r="AB12" i="14"/>
  <c r="AC12" i="14" s="1"/>
  <c r="F230" i="7"/>
  <c r="Z13" i="14"/>
  <c r="H233" i="7"/>
  <c r="AD7" i="15"/>
  <c r="AE7" i="15" s="1"/>
  <c r="V15" i="10"/>
  <c r="V38" i="10"/>
  <c r="AA14" i="13"/>
  <c r="AB14" i="14"/>
  <c r="AC14" i="14" s="1"/>
  <c r="F232" i="7"/>
  <c r="Z15" i="14"/>
  <c r="S15" i="10"/>
  <c r="H189" i="7"/>
  <c r="H211" i="7"/>
  <c r="H209" i="7"/>
  <c r="H207" i="7"/>
  <c r="H222" i="7"/>
  <c r="H196" i="7"/>
  <c r="H198" i="7"/>
  <c r="V15" i="15"/>
  <c r="C183" i="7"/>
  <c r="S71" i="12"/>
  <c r="R22" i="10"/>
  <c r="U55" i="10"/>
  <c r="X10" i="11"/>
  <c r="T3" i="22" s="1"/>
  <c r="H185" i="7"/>
  <c r="H187" i="7"/>
  <c r="V9" i="15"/>
  <c r="Q11" i="9"/>
  <c r="P11" i="9"/>
  <c r="L114" i="9"/>
  <c r="T81" i="12"/>
  <c r="W10" i="11"/>
  <c r="S81" i="12"/>
  <c r="P95" i="9"/>
  <c r="F183" i="7"/>
  <c r="G197" i="7"/>
  <c r="W13" i="15"/>
  <c r="T82" i="12"/>
  <c r="T57" i="12"/>
  <c r="E205" i="7"/>
  <c r="D47" i="6"/>
  <c r="X9" i="25"/>
  <c r="X18" i="25"/>
  <c r="G210" i="7"/>
  <c r="X15" i="15"/>
  <c r="Y15" i="15"/>
  <c r="G221" i="7"/>
  <c r="Y15" i="14"/>
  <c r="F221" i="7"/>
  <c r="N57" i="9"/>
  <c r="O59" i="9" s="1"/>
  <c r="Q55" i="9"/>
  <c r="P55" i="9"/>
  <c r="P12" i="9"/>
  <c r="L115" i="9"/>
  <c r="Q12" i="9"/>
  <c r="C46" i="6"/>
  <c r="D194" i="7"/>
  <c r="W19" i="24"/>
  <c r="W10" i="24"/>
  <c r="F188" i="7"/>
  <c r="F205" i="7"/>
  <c r="X9" i="14"/>
  <c r="N113" i="9"/>
  <c r="N111" i="9"/>
  <c r="N14" i="9"/>
  <c r="O16" i="9" s="1"/>
  <c r="G183" i="7"/>
  <c r="Y18" i="25"/>
  <c r="Y9" i="25"/>
  <c r="E216" i="7"/>
  <c r="E47" i="6"/>
  <c r="F186" i="7"/>
  <c r="F37" i="6"/>
  <c r="E183" i="7"/>
  <c r="W41" i="11"/>
  <c r="S7" i="22" s="1"/>
  <c r="W34" i="11"/>
  <c r="S6" i="22" s="1"/>
  <c r="S82" i="12"/>
  <c r="S57" i="12"/>
  <c r="G194" i="7"/>
  <c r="W9" i="15"/>
  <c r="F208" i="7"/>
  <c r="X13" i="14"/>
  <c r="P80" i="9"/>
  <c r="Q80" i="9"/>
  <c r="P72" i="9"/>
  <c r="Q72" i="9"/>
  <c r="L78" i="9"/>
  <c r="M80" i="9" s="1"/>
  <c r="C114" i="9"/>
  <c r="D183" i="7"/>
  <c r="F36" i="6"/>
  <c r="W38" i="11"/>
  <c r="C47" i="6"/>
  <c r="E194" i="7"/>
  <c r="W18" i="25"/>
  <c r="W9" i="25"/>
  <c r="C205" i="7"/>
  <c r="X24" i="13"/>
  <c r="X10" i="13"/>
  <c r="U47" i="10"/>
  <c r="Y9" i="14"/>
  <c r="F216" i="7"/>
  <c r="E115" i="9"/>
  <c r="Q30" i="9"/>
  <c r="P30" i="9"/>
  <c r="L36" i="9"/>
  <c r="M30" i="9" s="1"/>
  <c r="N115" i="9"/>
  <c r="Q52" i="9"/>
  <c r="P52" i="9"/>
  <c r="E114" i="9"/>
  <c r="G186" i="7"/>
  <c r="S55" i="10"/>
  <c r="H200" i="7"/>
  <c r="X34" i="11"/>
  <c r="T6" i="22" s="1"/>
  <c r="X41" i="11"/>
  <c r="T7" i="22" s="1"/>
  <c r="T15" i="10"/>
  <c r="F210" i="7"/>
  <c r="X15" i="14"/>
  <c r="P74" i="9"/>
  <c r="Q74" i="9"/>
  <c r="N78" i="9"/>
  <c r="O78" i="9" s="1"/>
  <c r="E112" i="9"/>
  <c r="W13" i="14"/>
  <c r="F197" i="7"/>
  <c r="T71" i="12"/>
  <c r="P33" i="9"/>
  <c r="Q33" i="9"/>
  <c r="P34" i="9"/>
  <c r="Q34" i="9"/>
  <c r="X38" i="11"/>
  <c r="T22" i="10"/>
  <c r="G205" i="7"/>
  <c r="X9" i="15"/>
  <c r="C119" i="9"/>
  <c r="C111" i="9"/>
  <c r="P9" i="9"/>
  <c r="Q9" i="9"/>
  <c r="L112" i="9"/>
  <c r="P93" i="9"/>
  <c r="L99" i="9"/>
  <c r="L102" i="9" s="1"/>
  <c r="Q93" i="9"/>
  <c r="S22" i="10"/>
  <c r="S5" i="12"/>
  <c r="S24" i="12" s="1"/>
  <c r="S34" i="12" s="1"/>
  <c r="S38" i="12" s="1"/>
  <c r="T38" i="10"/>
  <c r="T5" i="12"/>
  <c r="T24" i="12" s="1"/>
  <c r="T34" i="12" s="1"/>
  <c r="T38" i="12" s="1"/>
  <c r="U15" i="10"/>
  <c r="Y16" i="13"/>
  <c r="C221" i="7"/>
  <c r="P32" i="9"/>
  <c r="Q32" i="9"/>
  <c r="N36" i="9"/>
  <c r="O30" i="9" s="1"/>
  <c r="N112" i="9"/>
  <c r="G219" i="7"/>
  <c r="Y13" i="15"/>
  <c r="Q51" i="9"/>
  <c r="P51" i="9"/>
  <c r="L57" i="9"/>
  <c r="M51" i="9" s="1"/>
  <c r="Y19" i="24"/>
  <c r="Y10" i="24"/>
  <c r="E46" i="6"/>
  <c r="D216" i="7"/>
  <c r="Q59" i="9"/>
  <c r="P59" i="9"/>
  <c r="P76" i="9"/>
  <c r="Q76" i="9"/>
  <c r="S47" i="10"/>
  <c r="C197" i="7"/>
  <c r="W14" i="13"/>
  <c r="W9" i="14"/>
  <c r="F194" i="7"/>
  <c r="P96" i="9"/>
  <c r="E119" i="9"/>
  <c r="E111" i="9"/>
  <c r="P31" i="9"/>
  <c r="Q31" i="9"/>
  <c r="P101" i="9"/>
  <c r="Q101" i="9"/>
  <c r="N99" i="9"/>
  <c r="O99" i="9" s="1"/>
  <c r="C194" i="7"/>
  <c r="W10" i="13"/>
  <c r="W24" i="13"/>
  <c r="T47" i="10"/>
  <c r="D205" i="7"/>
  <c r="D46" i="6"/>
  <c r="X19" i="24"/>
  <c r="X10" i="24"/>
  <c r="C210" i="7"/>
  <c r="X16" i="13"/>
  <c r="C219" i="7"/>
  <c r="Y14" i="13"/>
  <c r="Y13" i="14"/>
  <c r="F219" i="7"/>
  <c r="P53" i="9"/>
  <c r="Q53" i="9"/>
  <c r="L111" i="9"/>
  <c r="P8" i="9"/>
  <c r="L14" i="9"/>
  <c r="M16" i="9" s="1"/>
  <c r="Q8" i="9"/>
  <c r="G188" i="7"/>
  <c r="W16" i="13"/>
  <c r="C199" i="7"/>
  <c r="Q38" i="9"/>
  <c r="P38" i="9"/>
  <c r="W15" i="15"/>
  <c r="G199" i="7"/>
  <c r="Q94" i="9"/>
  <c r="P94" i="9"/>
  <c r="P16" i="9"/>
  <c r="L119" i="9"/>
  <c r="Q16" i="9"/>
  <c r="P54" i="9"/>
  <c r="Q54" i="9"/>
  <c r="T55" i="10"/>
  <c r="C208" i="7"/>
  <c r="X14" i="13"/>
  <c r="G216" i="7"/>
  <c r="Y9" i="15"/>
  <c r="P73" i="9"/>
  <c r="Q73" i="9"/>
  <c r="C113" i="9"/>
  <c r="V13" i="15"/>
  <c r="F199" i="7"/>
  <c r="W15" i="14"/>
  <c r="G208" i="7"/>
  <c r="X13" i="15"/>
  <c r="U38" i="10"/>
  <c r="U22" i="10"/>
  <c r="Y24" i="13"/>
  <c r="C216" i="7"/>
  <c r="Y10" i="13"/>
  <c r="P97" i="9"/>
  <c r="Q97" i="9"/>
  <c r="N114" i="9"/>
  <c r="E113" i="9"/>
  <c r="P10" i="9"/>
  <c r="Q10" i="9"/>
  <c r="L113" i="9"/>
  <c r="N119" i="9"/>
  <c r="Q75" i="9"/>
  <c r="P75" i="9"/>
  <c r="H143" i="7"/>
  <c r="D36" i="6"/>
  <c r="D37" i="6"/>
  <c r="N15" i="10"/>
  <c r="R81" i="12"/>
  <c r="H178" i="7"/>
  <c r="H176" i="7"/>
  <c r="H174" i="7"/>
  <c r="E172" i="7"/>
  <c r="C172" i="7"/>
  <c r="U8" i="11"/>
  <c r="V10" i="11"/>
  <c r="R38" i="10"/>
  <c r="V9" i="14"/>
  <c r="AD9" i="14" s="1"/>
  <c r="AE9" i="14" s="1"/>
  <c r="R71" i="12"/>
  <c r="U15" i="14"/>
  <c r="U16" i="13"/>
  <c r="R82" i="12"/>
  <c r="R57" i="12"/>
  <c r="V13" i="14"/>
  <c r="U11" i="11"/>
  <c r="V14" i="13"/>
  <c r="U9" i="15"/>
  <c r="G184" i="7" s="1"/>
  <c r="V19" i="25"/>
  <c r="C175" i="7"/>
  <c r="D172" i="7"/>
  <c r="U19" i="11"/>
  <c r="U15" i="15"/>
  <c r="V15" i="14"/>
  <c r="F172" i="7"/>
  <c r="F175" i="7"/>
  <c r="U37" i="11"/>
  <c r="AB37" i="11" s="1"/>
  <c r="U9" i="11"/>
  <c r="U22" i="11"/>
  <c r="U9" i="14"/>
  <c r="G177" i="7"/>
  <c r="U25" i="13"/>
  <c r="V16" i="13"/>
  <c r="U20" i="11"/>
  <c r="U13" i="15"/>
  <c r="U14" i="11"/>
  <c r="U19" i="25"/>
  <c r="G172" i="7"/>
  <c r="U10" i="24"/>
  <c r="U19" i="24"/>
  <c r="U20" i="24"/>
  <c r="R15" i="10"/>
  <c r="U12" i="11"/>
  <c r="V34" i="11"/>
  <c r="U32" i="11"/>
  <c r="V41" i="11"/>
  <c r="V25" i="13"/>
  <c r="U15" i="11"/>
  <c r="F177" i="7"/>
  <c r="U9" i="25"/>
  <c r="E184" i="7" s="1"/>
  <c r="U18" i="25"/>
  <c r="U26" i="11"/>
  <c r="AB26" i="11" s="1"/>
  <c r="AC26" i="11" s="1"/>
  <c r="U13" i="11"/>
  <c r="V10" i="13"/>
  <c r="V24" i="13"/>
  <c r="R47" i="10"/>
  <c r="R5" i="12"/>
  <c r="R24" i="12" s="1"/>
  <c r="V20" i="24"/>
  <c r="U33" i="11"/>
  <c r="V42" i="11"/>
  <c r="AD42" i="11" s="1"/>
  <c r="AE42" i="11" s="1"/>
  <c r="U10" i="13"/>
  <c r="C184" i="7" s="1"/>
  <c r="U24" i="13"/>
  <c r="U18" i="11"/>
  <c r="C177" i="7"/>
  <c r="G175" i="7"/>
  <c r="U13" i="14"/>
  <c r="U14" i="13"/>
  <c r="U27" i="11"/>
  <c r="AB27" i="11" s="1"/>
  <c r="AC27" i="11" s="1"/>
  <c r="V19" i="24"/>
  <c r="V10" i="24"/>
  <c r="V18" i="25"/>
  <c r="V9" i="25"/>
  <c r="R55" i="10"/>
  <c r="V38" i="11"/>
  <c r="U36" i="11"/>
  <c r="Q5" i="12"/>
  <c r="Q24" i="12" s="1"/>
  <c r="Q34" i="12" s="1"/>
  <c r="Q38" i="12" s="1"/>
  <c r="Q38" i="10"/>
  <c r="Q47" i="10"/>
  <c r="E139" i="7"/>
  <c r="F139" i="7"/>
  <c r="G139" i="7"/>
  <c r="T25" i="13"/>
  <c r="T16" i="13"/>
  <c r="T13" i="15"/>
  <c r="T41" i="11"/>
  <c r="T34" i="11"/>
  <c r="T10" i="11"/>
  <c r="T9" i="25"/>
  <c r="E37" i="6"/>
  <c r="T18" i="25"/>
  <c r="T42" i="11"/>
  <c r="Q22" i="10"/>
  <c r="T10" i="13"/>
  <c r="T24" i="13"/>
  <c r="Q15" i="10"/>
  <c r="T38" i="11"/>
  <c r="T14" i="13"/>
  <c r="Q55" i="10"/>
  <c r="T10" i="24"/>
  <c r="E36" i="6"/>
  <c r="T19" i="24"/>
  <c r="Q71" i="12"/>
  <c r="T9" i="14"/>
  <c r="T13" i="14"/>
  <c r="T20" i="24"/>
  <c r="T19" i="25"/>
  <c r="T15" i="15"/>
  <c r="T15" i="14"/>
  <c r="T9" i="15"/>
  <c r="P22" i="10"/>
  <c r="Q81" i="12"/>
  <c r="Q83" i="12" s="1"/>
  <c r="P81" i="12"/>
  <c r="H165" i="7"/>
  <c r="H167" i="7"/>
  <c r="P82" i="12"/>
  <c r="P57" i="12"/>
  <c r="S10" i="24"/>
  <c r="D161" i="7"/>
  <c r="S19" i="24"/>
  <c r="S15" i="14"/>
  <c r="F166" i="7"/>
  <c r="P71" i="12"/>
  <c r="H163" i="7"/>
  <c r="P5" i="12"/>
  <c r="P24" i="12" s="1"/>
  <c r="P34" i="12" s="1"/>
  <c r="P38" i="12" s="1"/>
  <c r="S9" i="25"/>
  <c r="S18" i="25"/>
  <c r="E161" i="7"/>
  <c r="S42" i="11"/>
  <c r="S10" i="11"/>
  <c r="F164" i="7"/>
  <c r="S13" i="14"/>
  <c r="S15" i="15"/>
  <c r="G166" i="7"/>
  <c r="S19" i="25"/>
  <c r="S24" i="13"/>
  <c r="C161" i="7"/>
  <c r="S10" i="13"/>
  <c r="S25" i="13"/>
  <c r="C164" i="7"/>
  <c r="S14" i="13"/>
  <c r="G161" i="7"/>
  <c r="S9" i="15"/>
  <c r="P55" i="10"/>
  <c r="P38" i="10"/>
  <c r="S41" i="11"/>
  <c r="S34" i="11"/>
  <c r="P15" i="10"/>
  <c r="C166" i="7"/>
  <c r="S16" i="13"/>
  <c r="S9" i="14"/>
  <c r="F161" i="7"/>
  <c r="S20" i="24"/>
  <c r="G164" i="7"/>
  <c r="S13" i="15"/>
  <c r="S38" i="11"/>
  <c r="P47" i="10"/>
  <c r="O5" i="12"/>
  <c r="O24" i="12" s="1"/>
  <c r="H145" i="7"/>
  <c r="H154" i="7"/>
  <c r="H141" i="7"/>
  <c r="O22" i="10"/>
  <c r="O38" i="10"/>
  <c r="R42" i="11"/>
  <c r="C155" i="7"/>
  <c r="R16" i="13"/>
  <c r="R19" i="25"/>
  <c r="H156" i="7"/>
  <c r="G153" i="7"/>
  <c r="R13" i="15"/>
  <c r="G155" i="7"/>
  <c r="R15" i="15"/>
  <c r="C37" i="6"/>
  <c r="E150" i="7"/>
  <c r="R18" i="25"/>
  <c r="R9" i="25"/>
  <c r="O55" i="10"/>
  <c r="F153" i="7"/>
  <c r="R13" i="14"/>
  <c r="O81" i="12"/>
  <c r="R10" i="11"/>
  <c r="H152" i="7"/>
  <c r="C36" i="6"/>
  <c r="D150" i="7"/>
  <c r="R10" i="24"/>
  <c r="R19" i="24"/>
  <c r="F155" i="7"/>
  <c r="R15" i="14"/>
  <c r="R20" i="24"/>
  <c r="O47" i="10"/>
  <c r="C153" i="7"/>
  <c r="R14" i="13"/>
  <c r="C150" i="7"/>
  <c r="R10" i="13"/>
  <c r="R24" i="13"/>
  <c r="R38" i="11"/>
  <c r="G150" i="7"/>
  <c r="R9" i="15"/>
  <c r="R25" i="13"/>
  <c r="O71" i="12"/>
  <c r="R41" i="11"/>
  <c r="R34" i="11"/>
  <c r="O15" i="10"/>
  <c r="F150" i="7"/>
  <c r="R9" i="14"/>
  <c r="Q8" i="25"/>
  <c r="Q12" i="14"/>
  <c r="P11" i="11"/>
  <c r="P15" i="11"/>
  <c r="P22" i="11"/>
  <c r="P13" i="11"/>
  <c r="P26" i="11"/>
  <c r="C99" i="9"/>
  <c r="Q7" i="14"/>
  <c r="P32" i="11"/>
  <c r="P27" i="11"/>
  <c r="P20" i="11"/>
  <c r="P12" i="11"/>
  <c r="P18" i="11"/>
  <c r="P14" i="11"/>
  <c r="P37" i="11"/>
  <c r="N38" i="10"/>
  <c r="P33" i="11"/>
  <c r="P19" i="11"/>
  <c r="P8" i="11"/>
  <c r="P9" i="11"/>
  <c r="P36" i="11"/>
  <c r="Q8" i="24"/>
  <c r="C36" i="9"/>
  <c r="K8" i="13"/>
  <c r="K25" i="13" s="1"/>
  <c r="K14" i="14"/>
  <c r="L15" i="14"/>
  <c r="K11" i="15"/>
  <c r="P13" i="14"/>
  <c r="P10" i="13"/>
  <c r="C140" i="7" s="1"/>
  <c r="P24" i="13"/>
  <c r="K7" i="25"/>
  <c r="E91" i="7" s="1"/>
  <c r="L9" i="25"/>
  <c r="L10" i="25" s="1"/>
  <c r="K8" i="25"/>
  <c r="K8" i="24"/>
  <c r="Q41" i="11"/>
  <c r="Q34" i="11"/>
  <c r="N71" i="12"/>
  <c r="N22" i="10"/>
  <c r="F32" i="6"/>
  <c r="P9" i="25"/>
  <c r="P18" i="25"/>
  <c r="Q8" i="15"/>
  <c r="C57" i="9"/>
  <c r="E36" i="9"/>
  <c r="E57" i="9"/>
  <c r="P16" i="13"/>
  <c r="K14" i="15"/>
  <c r="L15" i="15"/>
  <c r="K8" i="14"/>
  <c r="E14" i="9"/>
  <c r="P15" i="14"/>
  <c r="K7" i="14"/>
  <c r="L9" i="14"/>
  <c r="L10" i="14" s="1"/>
  <c r="Q12" i="13"/>
  <c r="Q42" i="11"/>
  <c r="P9" i="14"/>
  <c r="Q11" i="15"/>
  <c r="C78" i="9"/>
  <c r="K13" i="13"/>
  <c r="L14" i="13"/>
  <c r="K12" i="15"/>
  <c r="L13" i="15"/>
  <c r="K8" i="15"/>
  <c r="N82" i="12"/>
  <c r="N57" i="12"/>
  <c r="Q14" i="15"/>
  <c r="P15" i="15"/>
  <c r="K7" i="13"/>
  <c r="C91" i="7" s="1"/>
  <c r="L10" i="13"/>
  <c r="P14" i="13"/>
  <c r="Q15" i="13"/>
  <c r="Q10" i="11"/>
  <c r="N81" i="12"/>
  <c r="Q38" i="11"/>
  <c r="Q12" i="15"/>
  <c r="P13" i="15"/>
  <c r="E99" i="9"/>
  <c r="K15" i="13"/>
  <c r="L16" i="13"/>
  <c r="K7" i="24"/>
  <c r="L10" i="24"/>
  <c r="L11" i="24" s="1"/>
  <c r="K12" i="13"/>
  <c r="N5" i="12"/>
  <c r="N24" i="12" s="1"/>
  <c r="N34" i="12" s="1"/>
  <c r="N38" i="12" s="1"/>
  <c r="F31" i="6"/>
  <c r="P10" i="24"/>
  <c r="D140" i="7" s="1"/>
  <c r="P19" i="24"/>
  <c r="Q11" i="14"/>
  <c r="N47" i="10"/>
  <c r="N55" i="10"/>
  <c r="Q7" i="15"/>
  <c r="P9" i="15"/>
  <c r="E78" i="9"/>
  <c r="K12" i="14"/>
  <c r="L13" i="14"/>
  <c r="K7" i="15"/>
  <c r="L9" i="15"/>
  <c r="L10" i="15" s="1"/>
  <c r="K11" i="14"/>
  <c r="Q8" i="14"/>
  <c r="Q14" i="14"/>
  <c r="C32" i="6"/>
  <c r="Q7" i="25"/>
  <c r="C31" i="6"/>
  <c r="Q7" i="24"/>
  <c r="Q7" i="13"/>
  <c r="Q8" i="13"/>
  <c r="Q13" i="13"/>
  <c r="J10" i="13"/>
  <c r="E71" i="12"/>
  <c r="F71" i="12"/>
  <c r="G71" i="12"/>
  <c r="J71" i="12"/>
  <c r="H71" i="12"/>
  <c r="I71" i="12"/>
  <c r="D71" i="12"/>
  <c r="C71" i="12"/>
  <c r="K71" i="12"/>
  <c r="L71" i="12"/>
  <c r="M71" i="12"/>
  <c r="E57" i="12"/>
  <c r="D57" i="12"/>
  <c r="G57" i="12"/>
  <c r="H57" i="12"/>
  <c r="I82" i="12"/>
  <c r="I57" i="12"/>
  <c r="K57" i="12"/>
  <c r="M57" i="12"/>
  <c r="C82" i="12"/>
  <c r="C57" i="12"/>
  <c r="L82" i="12"/>
  <c r="L57" i="12"/>
  <c r="F57" i="12"/>
  <c r="J82" i="12"/>
  <c r="J57" i="12"/>
  <c r="M81" i="12"/>
  <c r="O38" i="11"/>
  <c r="M5" i="12"/>
  <c r="M24" i="12" s="1"/>
  <c r="M34" i="12" s="1"/>
  <c r="M38" i="12" s="1"/>
  <c r="M38" i="10"/>
  <c r="H119" i="7"/>
  <c r="M47" i="10"/>
  <c r="C132" i="7"/>
  <c r="O16" i="13"/>
  <c r="M55" i="10"/>
  <c r="G132" i="7"/>
  <c r="O15" i="15"/>
  <c r="F127" i="7"/>
  <c r="O9" i="14"/>
  <c r="O19" i="25"/>
  <c r="O18" i="25"/>
  <c r="E32" i="6"/>
  <c r="E127" i="7"/>
  <c r="O9" i="25"/>
  <c r="O20" i="24"/>
  <c r="G130" i="7"/>
  <c r="O13" i="15"/>
  <c r="L81" i="12"/>
  <c r="O25" i="13"/>
  <c r="C127" i="7"/>
  <c r="O24" i="13"/>
  <c r="O10" i="13"/>
  <c r="H129" i="7"/>
  <c r="M22" i="10"/>
  <c r="M15" i="10"/>
  <c r="O9" i="15"/>
  <c r="G127" i="7"/>
  <c r="F130" i="7"/>
  <c r="O13" i="14"/>
  <c r="E31" i="6"/>
  <c r="D127" i="7"/>
  <c r="O10" i="24"/>
  <c r="O19" i="24"/>
  <c r="H131" i="7"/>
  <c r="M82" i="12"/>
  <c r="C130" i="7"/>
  <c r="O14" i="13"/>
  <c r="F132" i="7"/>
  <c r="O15" i="14"/>
  <c r="H133" i="7"/>
  <c r="C41" i="6"/>
  <c r="H117" i="7"/>
  <c r="N10" i="11"/>
  <c r="L3" i="22" s="1"/>
  <c r="H121" i="7"/>
  <c r="L55" i="10"/>
  <c r="N41" i="11"/>
  <c r="L7" i="22" s="1"/>
  <c r="N34" i="11"/>
  <c r="L6" i="22" s="1"/>
  <c r="L5" i="12"/>
  <c r="L24" i="12" s="1"/>
  <c r="L34" i="12" s="1"/>
  <c r="L38" i="12" s="1"/>
  <c r="N16" i="13"/>
  <c r="C120" i="7"/>
  <c r="G115" i="7"/>
  <c r="N9" i="15"/>
  <c r="N19" i="25"/>
  <c r="F120" i="7"/>
  <c r="N15" i="14"/>
  <c r="L22" i="10"/>
  <c r="D115" i="7"/>
  <c r="D31" i="6"/>
  <c r="N19" i="24"/>
  <c r="N10" i="24"/>
  <c r="L47" i="10"/>
  <c r="N20" i="24"/>
  <c r="D26" i="6"/>
  <c r="G120" i="7"/>
  <c r="N15" i="15"/>
  <c r="F115" i="7"/>
  <c r="N9" i="14"/>
  <c r="N38" i="11"/>
  <c r="N25" i="13"/>
  <c r="L15" i="10"/>
  <c r="E115" i="7"/>
  <c r="N18" i="25"/>
  <c r="D32" i="6"/>
  <c r="N9" i="25"/>
  <c r="G118" i="7"/>
  <c r="N13" i="15"/>
  <c r="J5" i="12"/>
  <c r="C118" i="7"/>
  <c r="N14" i="13"/>
  <c r="F118" i="7"/>
  <c r="N13" i="14"/>
  <c r="O10" i="11"/>
  <c r="L38" i="10"/>
  <c r="N10" i="13"/>
  <c r="C115" i="7"/>
  <c r="N24" i="13"/>
  <c r="O41" i="11"/>
  <c r="O34" i="11"/>
  <c r="C42" i="6"/>
  <c r="K55" i="10"/>
  <c r="J22" i="10"/>
  <c r="K5" i="12"/>
  <c r="K24" i="12" s="1"/>
  <c r="K34" i="12" s="1"/>
  <c r="K38" i="12" s="1"/>
  <c r="J47" i="10"/>
  <c r="H93" i="7"/>
  <c r="F9" i="25"/>
  <c r="F10" i="25" s="1"/>
  <c r="K81" i="12"/>
  <c r="M10" i="11"/>
  <c r="F108" i="7"/>
  <c r="M15" i="14"/>
  <c r="H109" i="7"/>
  <c r="K36" i="10"/>
  <c r="K38" i="10" s="1"/>
  <c r="C103" i="7"/>
  <c r="M24" i="13"/>
  <c r="M10" i="13"/>
  <c r="K15" i="10"/>
  <c r="G7" i="15"/>
  <c r="G106" i="7"/>
  <c r="M13" i="15"/>
  <c r="G103" i="7"/>
  <c r="M9" i="15"/>
  <c r="K47" i="10"/>
  <c r="C108" i="7"/>
  <c r="M16" i="13"/>
  <c r="M25" i="13"/>
  <c r="F103" i="7"/>
  <c r="M9" i="14"/>
  <c r="G108" i="7"/>
  <c r="M15" i="15"/>
  <c r="G11" i="14"/>
  <c r="H105" i="7"/>
  <c r="G11" i="15"/>
  <c r="M41" i="11"/>
  <c r="M34" i="11"/>
  <c r="C106" i="7"/>
  <c r="M14" i="13"/>
  <c r="E103" i="7"/>
  <c r="M18" i="25"/>
  <c r="M9" i="25"/>
  <c r="H107" i="7"/>
  <c r="M42" i="11"/>
  <c r="M38" i="11"/>
  <c r="K22" i="10"/>
  <c r="M20" i="24"/>
  <c r="K82" i="12"/>
  <c r="D103" i="7"/>
  <c r="M19" i="24"/>
  <c r="M10" i="24"/>
  <c r="F106" i="7"/>
  <c r="M13" i="14"/>
  <c r="M19" i="25"/>
  <c r="I9" i="25"/>
  <c r="G8" i="14"/>
  <c r="G14" i="15"/>
  <c r="G8" i="15"/>
  <c r="G7" i="14"/>
  <c r="H20" i="24"/>
  <c r="H97" i="7"/>
  <c r="D9" i="25"/>
  <c r="D20" i="25" s="1"/>
  <c r="G13" i="13"/>
  <c r="H95" i="7"/>
  <c r="G8" i="13"/>
  <c r="G25" i="13" s="1"/>
  <c r="G14" i="14"/>
  <c r="G7" i="13"/>
  <c r="G15" i="13"/>
  <c r="J9" i="25"/>
  <c r="J20" i="25" s="1"/>
  <c r="H9" i="25"/>
  <c r="C9" i="25"/>
  <c r="C20" i="25" s="1"/>
  <c r="G7" i="25"/>
  <c r="G12" i="13"/>
  <c r="G12" i="14"/>
  <c r="G12" i="15"/>
  <c r="G8" i="25"/>
  <c r="G19" i="25" s="1"/>
  <c r="E9" i="25"/>
  <c r="E20" i="25" s="1"/>
  <c r="G7" i="24"/>
  <c r="G8" i="24"/>
  <c r="G20" i="24" s="1"/>
  <c r="K27" i="11"/>
  <c r="K14" i="11"/>
  <c r="K19" i="11"/>
  <c r="L10" i="11"/>
  <c r="L16" i="11" s="1"/>
  <c r="L21" i="11" s="1"/>
  <c r="L23" i="11" s="1"/>
  <c r="L28" i="11" s="1"/>
  <c r="K8" i="11"/>
  <c r="J81" i="12"/>
  <c r="F16" i="13"/>
  <c r="J15" i="10"/>
  <c r="L34" i="11"/>
  <c r="K32" i="11"/>
  <c r="L41" i="11"/>
  <c r="K37" i="11"/>
  <c r="K36" i="11"/>
  <c r="L38" i="11"/>
  <c r="K26" i="11"/>
  <c r="J36" i="10"/>
  <c r="J38" i="10" s="1"/>
  <c r="J55" i="10"/>
  <c r="K12" i="11"/>
  <c r="K22" i="11"/>
  <c r="F14" i="13"/>
  <c r="K15" i="11"/>
  <c r="K9" i="11"/>
  <c r="F10" i="13"/>
  <c r="F11" i="13" s="1"/>
  <c r="K11" i="11"/>
  <c r="L42" i="11"/>
  <c r="K33" i="11"/>
  <c r="K20" i="11"/>
  <c r="K13" i="11"/>
  <c r="K18" i="11"/>
  <c r="I19" i="25"/>
  <c r="F20" i="24"/>
  <c r="I14" i="13"/>
  <c r="I16" i="13"/>
  <c r="D16" i="13"/>
  <c r="D14" i="13"/>
  <c r="C14" i="13"/>
  <c r="C16" i="13"/>
  <c r="E14" i="13"/>
  <c r="E16" i="13"/>
  <c r="H14" i="13"/>
  <c r="H16" i="13"/>
  <c r="J14" i="13"/>
  <c r="J16" i="13"/>
  <c r="D79" i="7"/>
  <c r="I18" i="25"/>
  <c r="E18" i="25"/>
  <c r="C18" i="25"/>
  <c r="D18" i="25"/>
  <c r="F18" i="25"/>
  <c r="E44" i="7"/>
  <c r="J18" i="25"/>
  <c r="E55" i="7"/>
  <c r="H18" i="25"/>
  <c r="F10" i="24"/>
  <c r="D44" i="7"/>
  <c r="F19" i="24"/>
  <c r="E20" i="7"/>
  <c r="E79" i="7"/>
  <c r="H10" i="24"/>
  <c r="D55" i="7"/>
  <c r="H19" i="24"/>
  <c r="E7" i="7"/>
  <c r="E33" i="7"/>
  <c r="C70" i="7"/>
  <c r="C72" i="7"/>
  <c r="I10" i="24"/>
  <c r="D67" i="7"/>
  <c r="I19" i="24"/>
  <c r="C20" i="24"/>
  <c r="C10" i="24"/>
  <c r="C21" i="24" s="1"/>
  <c r="D7" i="7"/>
  <c r="C19" i="24"/>
  <c r="E67" i="7"/>
  <c r="D33" i="7"/>
  <c r="E10" i="24"/>
  <c r="E21" i="24" s="1"/>
  <c r="I20" i="24"/>
  <c r="D20" i="7"/>
  <c r="D10" i="24"/>
  <c r="D21" i="24" s="1"/>
  <c r="D19" i="24"/>
  <c r="D20" i="24"/>
  <c r="I5" i="12"/>
  <c r="I24" i="12" s="1"/>
  <c r="I34" i="12" s="1"/>
  <c r="I38" i="12" s="1"/>
  <c r="I47" i="10"/>
  <c r="I22" i="10"/>
  <c r="H81" i="12"/>
  <c r="I81" i="12"/>
  <c r="I55" i="10"/>
  <c r="I36" i="10"/>
  <c r="I38" i="10" s="1"/>
  <c r="I15" i="10"/>
  <c r="J41" i="11"/>
  <c r="I7" i="22" s="1"/>
  <c r="J34" i="11"/>
  <c r="J38" i="11"/>
  <c r="J42" i="11"/>
  <c r="J10" i="11"/>
  <c r="E81" i="12"/>
  <c r="D81" i="12"/>
  <c r="P44" i="7"/>
  <c r="G36" i="10"/>
  <c r="P45" i="7"/>
  <c r="P47" i="7"/>
  <c r="E36" i="10"/>
  <c r="H36" i="10"/>
  <c r="F18" i="11"/>
  <c r="F36" i="10"/>
  <c r="C36" i="10"/>
  <c r="D36" i="10"/>
  <c r="P49" i="7"/>
  <c r="V57" i="10" l="1"/>
  <c r="V24" i="10"/>
  <c r="O34" i="9"/>
  <c r="AD10" i="24"/>
  <c r="AE10" i="24" s="1"/>
  <c r="S24" i="10"/>
  <c r="G233" i="7"/>
  <c r="M33" i="9"/>
  <c r="F231" i="7"/>
  <c r="AD9" i="25"/>
  <c r="AE9" i="25" s="1"/>
  <c r="I232" i="7"/>
  <c r="C233" i="7"/>
  <c r="AB9" i="25"/>
  <c r="AC9" i="25" s="1"/>
  <c r="E228" i="7"/>
  <c r="E229" i="7" s="1"/>
  <c r="Z20" i="25"/>
  <c r="Z10" i="25"/>
  <c r="AB9" i="15"/>
  <c r="AC9" i="15" s="1"/>
  <c r="G228" i="7"/>
  <c r="G229" i="7" s="1"/>
  <c r="Z10" i="15"/>
  <c r="M73" i="9"/>
  <c r="Z10" i="14"/>
  <c r="F228" i="7"/>
  <c r="F229" i="7" s="1"/>
  <c r="AB9" i="14"/>
  <c r="AC9" i="14" s="1"/>
  <c r="AB10" i="24"/>
  <c r="AC10" i="24" s="1"/>
  <c r="D228" i="7"/>
  <c r="D229" i="7" s="1"/>
  <c r="Z21" i="24"/>
  <c r="Z11" i="24"/>
  <c r="I230" i="7"/>
  <c r="C231" i="7"/>
  <c r="V58" i="10"/>
  <c r="E45" i="6"/>
  <c r="F233" i="7"/>
  <c r="I227" i="7"/>
  <c r="F45" i="6"/>
  <c r="C228" i="7"/>
  <c r="Z11" i="13"/>
  <c r="AB10" i="13"/>
  <c r="AC10" i="13" s="1"/>
  <c r="M75" i="9"/>
  <c r="T73" i="12"/>
  <c r="T77" i="12" s="1"/>
  <c r="AA11" i="24"/>
  <c r="AA21" i="24"/>
  <c r="AD10" i="13"/>
  <c r="AE10" i="13" s="1"/>
  <c r="AA20" i="25"/>
  <c r="AA10" i="25"/>
  <c r="G231" i="7"/>
  <c r="X16" i="11"/>
  <c r="X21" i="11" s="1"/>
  <c r="X23" i="11" s="1"/>
  <c r="X28" i="11" s="1"/>
  <c r="N120" i="9"/>
  <c r="R24" i="10"/>
  <c r="U57" i="10"/>
  <c r="U58" i="10" s="1"/>
  <c r="V10" i="15"/>
  <c r="AD9" i="15"/>
  <c r="AE9" i="15" s="1"/>
  <c r="M59" i="9"/>
  <c r="O55" i="9"/>
  <c r="O53" i="9"/>
  <c r="O96" i="9"/>
  <c r="M52" i="9"/>
  <c r="N102" i="9"/>
  <c r="M72" i="9"/>
  <c r="M54" i="9"/>
  <c r="O54" i="9"/>
  <c r="M96" i="9"/>
  <c r="O52" i="9"/>
  <c r="O73" i="9"/>
  <c r="M32" i="9"/>
  <c r="O72" i="9"/>
  <c r="M8" i="9"/>
  <c r="M38" i="9"/>
  <c r="G220" i="7"/>
  <c r="M9" i="9"/>
  <c r="O8" i="9"/>
  <c r="O95" i="9"/>
  <c r="M97" i="9"/>
  <c r="M12" i="9"/>
  <c r="O97" i="9"/>
  <c r="M95" i="9"/>
  <c r="O9" i="9"/>
  <c r="M74" i="9"/>
  <c r="G198" i="7"/>
  <c r="G47" i="6"/>
  <c r="H47" i="6" s="1"/>
  <c r="D45" i="6"/>
  <c r="F211" i="7"/>
  <c r="F209" i="7"/>
  <c r="S73" i="12"/>
  <c r="T83" i="12"/>
  <c r="U42" i="11"/>
  <c r="AB42" i="11" s="1"/>
  <c r="AC42" i="11" s="1"/>
  <c r="AB33" i="11"/>
  <c r="AC33" i="11" s="1"/>
  <c r="U41" i="11"/>
  <c r="S57" i="10"/>
  <c r="S58" i="10" s="1"/>
  <c r="G206" i="7"/>
  <c r="G207" i="7" s="1"/>
  <c r="X10" i="15"/>
  <c r="I216" i="7"/>
  <c r="O31" i="9"/>
  <c r="O36" i="9"/>
  <c r="G211" i="7"/>
  <c r="U24" i="10"/>
  <c r="F198" i="7"/>
  <c r="F35" i="6"/>
  <c r="Y20" i="25"/>
  <c r="Y10" i="25"/>
  <c r="E217" i="7"/>
  <c r="E218" i="7" s="1"/>
  <c r="E117" i="9"/>
  <c r="E121" i="9" s="1"/>
  <c r="F222" i="7"/>
  <c r="C200" i="7"/>
  <c r="I199" i="7"/>
  <c r="C206" i="7"/>
  <c r="X11" i="13"/>
  <c r="Y11" i="13"/>
  <c r="C217" i="7"/>
  <c r="N117" i="9"/>
  <c r="N121" i="9" s="1"/>
  <c r="O94" i="9"/>
  <c r="M94" i="9"/>
  <c r="I210" i="7"/>
  <c r="C211" i="7"/>
  <c r="O93" i="9"/>
  <c r="O38" i="9"/>
  <c r="O12" i="9"/>
  <c r="O10" i="9"/>
  <c r="W11" i="24"/>
  <c r="W21" i="24"/>
  <c r="D195" i="7"/>
  <c r="D196" i="7" s="1"/>
  <c r="F220" i="7"/>
  <c r="S3" i="22"/>
  <c r="W16" i="11"/>
  <c r="O33" i="9"/>
  <c r="P115" i="9"/>
  <c r="Q115" i="9"/>
  <c r="G222" i="7"/>
  <c r="M10" i="9"/>
  <c r="M14" i="9"/>
  <c r="Q14" i="9"/>
  <c r="P14" i="9"/>
  <c r="L164" i="9" s="1"/>
  <c r="O74" i="9"/>
  <c r="P112" i="9"/>
  <c r="Q112" i="9"/>
  <c r="T24" i="10"/>
  <c r="F206" i="7"/>
  <c r="F207" i="7" s="1"/>
  <c r="X10" i="14"/>
  <c r="M11" i="9"/>
  <c r="Q119" i="9"/>
  <c r="P119" i="9"/>
  <c r="C220" i="7"/>
  <c r="I219" i="7"/>
  <c r="I205" i="7"/>
  <c r="S83" i="12"/>
  <c r="Y21" i="24"/>
  <c r="Y11" i="24"/>
  <c r="D217" i="7"/>
  <c r="D218" i="7" s="1"/>
  <c r="W20" i="25"/>
  <c r="E195" i="7"/>
  <c r="E196" i="7" s="1"/>
  <c r="W10" i="25"/>
  <c r="O32" i="9"/>
  <c r="P113" i="9"/>
  <c r="Q113" i="9"/>
  <c r="G209" i="7"/>
  <c r="G200" i="7"/>
  <c r="M55" i="9"/>
  <c r="M57" i="9"/>
  <c r="P57" i="9"/>
  <c r="L166" i="9" s="1"/>
  <c r="Q57" i="9"/>
  <c r="M34" i="9"/>
  <c r="M36" i="9"/>
  <c r="P36" i="9"/>
  <c r="L165" i="9" s="1"/>
  <c r="Q36" i="9"/>
  <c r="O75" i="9"/>
  <c r="P114" i="9"/>
  <c r="Q114" i="9"/>
  <c r="C195" i="7"/>
  <c r="W11" i="13"/>
  <c r="G195" i="7"/>
  <c r="G196" i="7" s="1"/>
  <c r="W10" i="15"/>
  <c r="Y10" i="14"/>
  <c r="F217" i="7"/>
  <c r="F218" i="7" s="1"/>
  <c r="G46" i="6"/>
  <c r="H46" i="6" s="1"/>
  <c r="C45" i="6"/>
  <c r="O11" i="9"/>
  <c r="O14" i="9"/>
  <c r="O76" i="9"/>
  <c r="Y10" i="15"/>
  <c r="G217" i="7"/>
  <c r="G218" i="7" s="1"/>
  <c r="D206" i="7"/>
  <c r="D207" i="7" s="1"/>
  <c r="X11" i="24"/>
  <c r="X21" i="24"/>
  <c r="C198" i="7"/>
  <c r="I197" i="7"/>
  <c r="E206" i="7"/>
  <c r="E207" i="7" s="1"/>
  <c r="X20" i="25"/>
  <c r="X10" i="25"/>
  <c r="C209" i="7"/>
  <c r="I208" i="7"/>
  <c r="L117" i="9"/>
  <c r="Q111" i="9"/>
  <c r="P111" i="9"/>
  <c r="I221" i="7"/>
  <c r="C222" i="7"/>
  <c r="I194" i="7"/>
  <c r="O80" i="9"/>
  <c r="F195" i="7"/>
  <c r="F196" i="7" s="1"/>
  <c r="W10" i="14"/>
  <c r="M93" i="9"/>
  <c r="M99" i="9"/>
  <c r="Q99" i="9"/>
  <c r="P99" i="9"/>
  <c r="L168" i="9" s="1"/>
  <c r="Q78" i="9"/>
  <c r="M78" i="9"/>
  <c r="P78" i="9"/>
  <c r="L167" i="9" s="1"/>
  <c r="F200" i="7"/>
  <c r="M53" i="9"/>
  <c r="T57" i="10"/>
  <c r="T58" i="10" s="1"/>
  <c r="M31" i="9"/>
  <c r="M76" i="9"/>
  <c r="O51" i="9"/>
  <c r="O57" i="9"/>
  <c r="Q57" i="10"/>
  <c r="Q58" i="10" s="1"/>
  <c r="Q6" i="22"/>
  <c r="U38" i="11"/>
  <c r="O34" i="12"/>
  <c r="O38" i="12" s="1"/>
  <c r="F178" i="7"/>
  <c r="R16" i="11"/>
  <c r="F184" i="7"/>
  <c r="F185" i="7" s="1"/>
  <c r="D184" i="7"/>
  <c r="D185" i="7" s="1"/>
  <c r="V16" i="11"/>
  <c r="R34" i="12"/>
  <c r="R38" i="12" s="1"/>
  <c r="R73" i="12" s="1"/>
  <c r="R77" i="12" s="1"/>
  <c r="R57" i="10"/>
  <c r="R58" i="10" s="1"/>
  <c r="F189" i="7"/>
  <c r="G187" i="7"/>
  <c r="F173" i="7"/>
  <c r="F174" i="7" s="1"/>
  <c r="E185" i="7"/>
  <c r="E173" i="7"/>
  <c r="E174" i="7" s="1"/>
  <c r="C173" i="7"/>
  <c r="I188" i="7"/>
  <c r="C189" i="7"/>
  <c r="U10" i="11"/>
  <c r="G173" i="7"/>
  <c r="G174" i="7" s="1"/>
  <c r="G185" i="7"/>
  <c r="E35" i="6"/>
  <c r="C187" i="7"/>
  <c r="I186" i="7"/>
  <c r="U10" i="14"/>
  <c r="D173" i="7"/>
  <c r="D174" i="7" s="1"/>
  <c r="V10" i="25"/>
  <c r="V20" i="25"/>
  <c r="C185" i="7"/>
  <c r="I183" i="7"/>
  <c r="P24" i="10"/>
  <c r="U11" i="13"/>
  <c r="U10" i="25"/>
  <c r="U20" i="25"/>
  <c r="U21" i="24"/>
  <c r="U11" i="24"/>
  <c r="V11" i="13"/>
  <c r="U34" i="11"/>
  <c r="G189" i="7"/>
  <c r="U10" i="15"/>
  <c r="V21" i="24"/>
  <c r="V11" i="24"/>
  <c r="F187" i="7"/>
  <c r="V10" i="14"/>
  <c r="R83" i="12"/>
  <c r="Q3" i="22"/>
  <c r="P42" i="11"/>
  <c r="F140" i="7"/>
  <c r="F141" i="7" s="1"/>
  <c r="G140" i="7"/>
  <c r="G141" i="7" s="1"/>
  <c r="E140" i="7"/>
  <c r="E141" i="7" s="1"/>
  <c r="T10" i="15"/>
  <c r="T21" i="24"/>
  <c r="T11" i="24"/>
  <c r="Q7" i="22"/>
  <c r="T16" i="11"/>
  <c r="T11" i="13"/>
  <c r="I172" i="7"/>
  <c r="G176" i="7"/>
  <c r="C178" i="7"/>
  <c r="I177" i="7"/>
  <c r="I175" i="7"/>
  <c r="C176" i="7"/>
  <c r="Q24" i="10"/>
  <c r="G178" i="7"/>
  <c r="T20" i="25"/>
  <c r="T10" i="25"/>
  <c r="T10" i="14"/>
  <c r="F176" i="7"/>
  <c r="O7" i="22"/>
  <c r="G165" i="7"/>
  <c r="P73" i="12"/>
  <c r="P77" i="12" s="1"/>
  <c r="I166" i="7"/>
  <c r="S16" i="11"/>
  <c r="P3" i="22"/>
  <c r="F165" i="7"/>
  <c r="C165" i="7"/>
  <c r="I164" i="7"/>
  <c r="S11" i="13"/>
  <c r="C162" i="7"/>
  <c r="S10" i="25"/>
  <c r="E162" i="7"/>
  <c r="E163" i="7" s="1"/>
  <c r="S20" i="25"/>
  <c r="F162" i="7"/>
  <c r="F163" i="7" s="1"/>
  <c r="S10" i="14"/>
  <c r="P57" i="10"/>
  <c r="P58" i="10" s="1"/>
  <c r="P83" i="12"/>
  <c r="P6" i="22"/>
  <c r="G162" i="7"/>
  <c r="G163" i="7" s="1"/>
  <c r="S10" i="15"/>
  <c r="C167" i="7"/>
  <c r="I161" i="7"/>
  <c r="D35" i="6"/>
  <c r="G37" i="6"/>
  <c r="H37" i="6" s="1"/>
  <c r="G167" i="7"/>
  <c r="F167" i="7"/>
  <c r="S21" i="24"/>
  <c r="S11" i="24"/>
  <c r="D162" i="7"/>
  <c r="D163" i="7" s="1"/>
  <c r="P7" i="22"/>
  <c r="D78" i="9"/>
  <c r="D57" i="9"/>
  <c r="D36" i="9"/>
  <c r="D99" i="9"/>
  <c r="O24" i="10"/>
  <c r="F156" i="7"/>
  <c r="R20" i="25"/>
  <c r="E151" i="7"/>
  <c r="E152" i="7" s="1"/>
  <c r="R10" i="25"/>
  <c r="D141" i="7"/>
  <c r="R11" i="24"/>
  <c r="D151" i="7"/>
  <c r="D152" i="7" s="1"/>
  <c r="R21" i="24"/>
  <c r="G154" i="7"/>
  <c r="O83" i="12"/>
  <c r="C154" i="7"/>
  <c r="I153" i="7"/>
  <c r="R10" i="14"/>
  <c r="F151" i="7"/>
  <c r="F152" i="7" s="1"/>
  <c r="I150" i="7"/>
  <c r="O6" i="22"/>
  <c r="G151" i="7"/>
  <c r="G152" i="7" s="1"/>
  <c r="R10" i="15"/>
  <c r="R11" i="13"/>
  <c r="C151" i="7"/>
  <c r="F154" i="7"/>
  <c r="C156" i="7"/>
  <c r="I155" i="7"/>
  <c r="C35" i="6"/>
  <c r="G36" i="6"/>
  <c r="H36" i="6" s="1"/>
  <c r="O3" i="22"/>
  <c r="O57" i="10"/>
  <c r="O58" i="10" s="1"/>
  <c r="G156" i="7"/>
  <c r="D38" i="9"/>
  <c r="D80" i="9"/>
  <c r="D52" i="9"/>
  <c r="D30" i="9"/>
  <c r="D59" i="9"/>
  <c r="D72" i="9"/>
  <c r="D76" i="9"/>
  <c r="D73" i="9"/>
  <c r="D55" i="9"/>
  <c r="D95" i="9"/>
  <c r="D53" i="9"/>
  <c r="D51" i="9"/>
  <c r="D33" i="9"/>
  <c r="D97" i="9"/>
  <c r="D32" i="9"/>
  <c r="D54" i="9"/>
  <c r="D74" i="9"/>
  <c r="Q19" i="25"/>
  <c r="D75" i="9"/>
  <c r="D31" i="9"/>
  <c r="D94" i="9"/>
  <c r="D93" i="9"/>
  <c r="D96" i="9"/>
  <c r="D34" i="9"/>
  <c r="J24" i="12"/>
  <c r="J34" i="12" s="1"/>
  <c r="J38" i="12" s="1"/>
  <c r="J73" i="12" s="1"/>
  <c r="J77" i="12" s="1"/>
  <c r="C94" i="7"/>
  <c r="C95" i="7" s="1"/>
  <c r="J83" i="12"/>
  <c r="C30" i="6"/>
  <c r="G96" i="7"/>
  <c r="K9" i="14"/>
  <c r="K10" i="14" s="1"/>
  <c r="K15" i="14"/>
  <c r="Q20" i="24"/>
  <c r="K20" i="24"/>
  <c r="K15" i="15"/>
  <c r="F91" i="7"/>
  <c r="Q13" i="14"/>
  <c r="K19" i="25"/>
  <c r="N83" i="12"/>
  <c r="N73" i="12"/>
  <c r="N77" i="12" s="1"/>
  <c r="K14" i="13"/>
  <c r="C96" i="7"/>
  <c r="C97" i="7" s="1"/>
  <c r="K16" i="13"/>
  <c r="P38" i="11"/>
  <c r="K9" i="15"/>
  <c r="C117" i="9"/>
  <c r="K10" i="24"/>
  <c r="F30" i="6"/>
  <c r="K9" i="25"/>
  <c r="K18" i="25"/>
  <c r="G94" i="7"/>
  <c r="D91" i="7"/>
  <c r="F94" i="7"/>
  <c r="K24" i="13"/>
  <c r="Q13" i="15"/>
  <c r="K13" i="14"/>
  <c r="K13" i="15"/>
  <c r="K19" i="24"/>
  <c r="Q16" i="11"/>
  <c r="F143" i="7"/>
  <c r="P21" i="24"/>
  <c r="P11" i="24"/>
  <c r="N24" i="10"/>
  <c r="Q9" i="15"/>
  <c r="C143" i="7"/>
  <c r="I142" i="7"/>
  <c r="I144" i="7"/>
  <c r="C145" i="7"/>
  <c r="P20" i="25"/>
  <c r="P10" i="25"/>
  <c r="P11" i="13"/>
  <c r="F96" i="7"/>
  <c r="P10" i="15"/>
  <c r="G145" i="7"/>
  <c r="P10" i="14"/>
  <c r="I139" i="7"/>
  <c r="G91" i="7"/>
  <c r="N57" i="10"/>
  <c r="N58" i="10" s="1"/>
  <c r="Q15" i="15"/>
  <c r="P41" i="11"/>
  <c r="P34" i="11"/>
  <c r="G143" i="7"/>
  <c r="P10" i="11"/>
  <c r="L11" i="13"/>
  <c r="F145" i="7"/>
  <c r="Q15" i="14"/>
  <c r="Q9" i="14"/>
  <c r="Q25" i="13"/>
  <c r="Q16" i="13"/>
  <c r="Q24" i="13"/>
  <c r="Q14" i="13"/>
  <c r="K42" i="11"/>
  <c r="Q9" i="25"/>
  <c r="Q18" i="25"/>
  <c r="Q10" i="24"/>
  <c r="Q19" i="24"/>
  <c r="Q10" i="13"/>
  <c r="L83" i="12"/>
  <c r="G32" i="6"/>
  <c r="E30" i="6"/>
  <c r="F133" i="7"/>
  <c r="M57" i="10"/>
  <c r="M58" i="10" s="1"/>
  <c r="F131" i="7"/>
  <c r="G133" i="7"/>
  <c r="M83" i="12"/>
  <c r="G131" i="7"/>
  <c r="O10" i="14"/>
  <c r="F128" i="7"/>
  <c r="F129" i="7" s="1"/>
  <c r="M6" i="22"/>
  <c r="O16" i="11"/>
  <c r="M3" i="22"/>
  <c r="M7" i="22"/>
  <c r="I127" i="7"/>
  <c r="O10" i="15"/>
  <c r="G128" i="7"/>
  <c r="G129" i="7" s="1"/>
  <c r="M24" i="10"/>
  <c r="M73" i="12"/>
  <c r="M77" i="12" s="1"/>
  <c r="I130" i="7"/>
  <c r="C131" i="7"/>
  <c r="E128" i="7"/>
  <c r="E129" i="7" s="1"/>
  <c r="O20" i="25"/>
  <c r="O10" i="25"/>
  <c r="N16" i="11"/>
  <c r="L4" i="22" s="1"/>
  <c r="O21" i="24"/>
  <c r="D128" i="7"/>
  <c r="D129" i="7" s="1"/>
  <c r="O11" i="24"/>
  <c r="C133" i="7"/>
  <c r="I132" i="7"/>
  <c r="O11" i="13"/>
  <c r="C128" i="7"/>
  <c r="G119" i="7"/>
  <c r="F119" i="7"/>
  <c r="G121" i="7"/>
  <c r="D30" i="6"/>
  <c r="N11" i="13"/>
  <c r="C116" i="7"/>
  <c r="C119" i="7"/>
  <c r="I118" i="7"/>
  <c r="N10" i="15"/>
  <c r="G116" i="7"/>
  <c r="G117" i="7" s="1"/>
  <c r="L73" i="12"/>
  <c r="L77" i="12" s="1"/>
  <c r="G31" i="6"/>
  <c r="L24" i="10"/>
  <c r="N10" i="14"/>
  <c r="F116" i="7"/>
  <c r="F117" i="7" s="1"/>
  <c r="D116" i="7"/>
  <c r="D117" i="7" s="1"/>
  <c r="N11" i="24"/>
  <c r="N21" i="24"/>
  <c r="I115" i="7"/>
  <c r="L57" i="10"/>
  <c r="L58" i="10" s="1"/>
  <c r="E116" i="7"/>
  <c r="E117" i="7" s="1"/>
  <c r="N20" i="25"/>
  <c r="N10" i="25"/>
  <c r="F121" i="7"/>
  <c r="I120" i="7"/>
  <c r="C121" i="7"/>
  <c r="I21" i="24"/>
  <c r="K57" i="10"/>
  <c r="K58" i="10" s="1"/>
  <c r="J24" i="10"/>
  <c r="J57" i="10"/>
  <c r="J58" i="10" s="1"/>
  <c r="F107" i="7"/>
  <c r="G9" i="14"/>
  <c r="G10" i="14" s="1"/>
  <c r="F109" i="7"/>
  <c r="K83" i="12"/>
  <c r="F104" i="7"/>
  <c r="F105" i="7" s="1"/>
  <c r="M10" i="14"/>
  <c r="C104" i="7"/>
  <c r="M11" i="13"/>
  <c r="C107" i="7"/>
  <c r="I106" i="7"/>
  <c r="G107" i="7"/>
  <c r="K6" i="22"/>
  <c r="K73" i="12"/>
  <c r="K77" i="12" s="1"/>
  <c r="G104" i="7"/>
  <c r="G105" i="7" s="1"/>
  <c r="M10" i="15"/>
  <c r="C109" i="7"/>
  <c r="I108" i="7"/>
  <c r="K3" i="22"/>
  <c r="M16" i="11"/>
  <c r="G13" i="14"/>
  <c r="D104" i="7"/>
  <c r="D105" i="7" s="1"/>
  <c r="M11" i="24"/>
  <c r="M21" i="24"/>
  <c r="I103" i="7"/>
  <c r="K7" i="22"/>
  <c r="E104" i="7"/>
  <c r="E105" i="7" s="1"/>
  <c r="M10" i="25"/>
  <c r="M20" i="25"/>
  <c r="G109" i="7"/>
  <c r="K24" i="10"/>
  <c r="H21" i="24"/>
  <c r="G9" i="15"/>
  <c r="G10" i="15" s="1"/>
  <c r="G15" i="15"/>
  <c r="G13" i="15"/>
  <c r="G15" i="14"/>
  <c r="L19" i="24"/>
  <c r="G24" i="13"/>
  <c r="G10" i="13"/>
  <c r="G11" i="13" s="1"/>
  <c r="G16" i="13"/>
  <c r="L18" i="25"/>
  <c r="L19" i="25"/>
  <c r="G14" i="13"/>
  <c r="G18" i="25"/>
  <c r="G9" i="25"/>
  <c r="L20" i="24"/>
  <c r="G10" i="24"/>
  <c r="G19" i="24"/>
  <c r="K38" i="11"/>
  <c r="K10" i="11"/>
  <c r="K34" i="11"/>
  <c r="K41" i="11"/>
  <c r="I20" i="25"/>
  <c r="I3" i="22"/>
  <c r="I6" i="22"/>
  <c r="H10" i="25"/>
  <c r="H20" i="25"/>
  <c r="F20" i="25"/>
  <c r="E45" i="7"/>
  <c r="E46" i="7" s="1"/>
  <c r="F11" i="24"/>
  <c r="F21" i="24"/>
  <c r="D45" i="7"/>
  <c r="D46" i="7" s="1"/>
  <c r="E56" i="7"/>
  <c r="E57" i="7" s="1"/>
  <c r="I73" i="12"/>
  <c r="I77" i="12" s="1"/>
  <c r="D10" i="25"/>
  <c r="E21" i="7"/>
  <c r="E22" i="7" s="1"/>
  <c r="D11" i="24"/>
  <c r="D21" i="7"/>
  <c r="E11" i="24"/>
  <c r="D34" i="7"/>
  <c r="D68" i="7"/>
  <c r="I11" i="24"/>
  <c r="C10" i="25"/>
  <c r="E8" i="7"/>
  <c r="E9" i="7" s="1"/>
  <c r="C11" i="24"/>
  <c r="D8" i="7"/>
  <c r="E80" i="7"/>
  <c r="E81" i="7" s="1"/>
  <c r="J10" i="25"/>
  <c r="I10" i="25"/>
  <c r="E68" i="7"/>
  <c r="E69" i="7" s="1"/>
  <c r="E10" i="25"/>
  <c r="E34" i="7"/>
  <c r="E35" i="7" s="1"/>
  <c r="H11" i="24"/>
  <c r="D56" i="7"/>
  <c r="I83" i="12"/>
  <c r="I57" i="10"/>
  <c r="I58" i="10" s="1"/>
  <c r="I24" i="10"/>
  <c r="J16" i="11"/>
  <c r="I4" i="22" s="1"/>
  <c r="P36" i="7"/>
  <c r="P34" i="7"/>
  <c r="P33" i="7"/>
  <c r="I228" i="7" l="1"/>
  <c r="I229" i="7" s="1"/>
  <c r="C229" i="7"/>
  <c r="T4" i="22"/>
  <c r="I231" i="7"/>
  <c r="R7" i="22"/>
  <c r="I233" i="7"/>
  <c r="E120" i="9"/>
  <c r="O111" i="9"/>
  <c r="M119" i="9"/>
  <c r="G45" i="6"/>
  <c r="H45" i="6" s="1"/>
  <c r="V21" i="11"/>
  <c r="R6" i="22"/>
  <c r="I211" i="7"/>
  <c r="O117" i="9"/>
  <c r="L163" i="9"/>
  <c r="L169" i="9" s="1"/>
  <c r="O113" i="9"/>
  <c r="I222" i="7"/>
  <c r="C196" i="7"/>
  <c r="I195" i="7"/>
  <c r="I220" i="7"/>
  <c r="C218" i="7"/>
  <c r="I217" i="7"/>
  <c r="I218" i="7" s="1"/>
  <c r="I198" i="7"/>
  <c r="M114" i="9"/>
  <c r="M113" i="9"/>
  <c r="M111" i="9"/>
  <c r="P117" i="9"/>
  <c r="M117" i="9"/>
  <c r="Q117" i="9"/>
  <c r="C207" i="7"/>
  <c r="I206" i="7"/>
  <c r="I209" i="7"/>
  <c r="O119" i="9"/>
  <c r="O112" i="9"/>
  <c r="M115" i="9"/>
  <c r="I200" i="7"/>
  <c r="C163" i="9"/>
  <c r="W21" i="11"/>
  <c r="W23" i="11" s="1"/>
  <c r="W28" i="11" s="1"/>
  <c r="S4" i="22"/>
  <c r="O114" i="9"/>
  <c r="M112" i="9"/>
  <c r="O115" i="9"/>
  <c r="I189" i="7"/>
  <c r="I184" i="7"/>
  <c r="I187" i="7"/>
  <c r="R3" i="22"/>
  <c r="U16" i="11"/>
  <c r="Q4" i="22"/>
  <c r="N7" i="22"/>
  <c r="I178" i="7"/>
  <c r="N6" i="22"/>
  <c r="N3" i="22"/>
  <c r="T21" i="11"/>
  <c r="C174" i="7"/>
  <c r="I173" i="7"/>
  <c r="I176" i="7"/>
  <c r="G35" i="6"/>
  <c r="H35" i="6" s="1"/>
  <c r="C163" i="7"/>
  <c r="I162" i="7"/>
  <c r="P4" i="22"/>
  <c r="S21" i="11"/>
  <c r="I165" i="7"/>
  <c r="I167" i="7"/>
  <c r="I156" i="7"/>
  <c r="I151" i="7"/>
  <c r="C152" i="7"/>
  <c r="O4" i="22"/>
  <c r="R21" i="11"/>
  <c r="I154" i="7"/>
  <c r="D114" i="9"/>
  <c r="I91" i="7"/>
  <c r="D115" i="9"/>
  <c r="D111" i="9"/>
  <c r="K11" i="24"/>
  <c r="D117" i="9"/>
  <c r="K21" i="24"/>
  <c r="D119" i="9"/>
  <c r="F119" i="9"/>
  <c r="D113" i="9"/>
  <c r="D112" i="9"/>
  <c r="D92" i="7"/>
  <c r="D93" i="7" s="1"/>
  <c r="K10" i="25"/>
  <c r="F95" i="7"/>
  <c r="F97" i="7"/>
  <c r="F92" i="7"/>
  <c r="F93" i="7" s="1"/>
  <c r="G95" i="7"/>
  <c r="G97" i="7"/>
  <c r="I96" i="7"/>
  <c r="G92" i="7"/>
  <c r="G93" i="7" s="1"/>
  <c r="K10" i="15"/>
  <c r="E92" i="7"/>
  <c r="E93" i="7" s="1"/>
  <c r="K20" i="25"/>
  <c r="I94" i="7"/>
  <c r="I145" i="7"/>
  <c r="P16" i="11"/>
  <c r="Q10" i="15"/>
  <c r="I140" i="7"/>
  <c r="C141" i="7"/>
  <c r="Q21" i="11"/>
  <c r="I143" i="7"/>
  <c r="Q10" i="14"/>
  <c r="Q11" i="13"/>
  <c r="J7" i="22"/>
  <c r="Q10" i="25"/>
  <c r="Q20" i="25"/>
  <c r="Q21" i="24"/>
  <c r="Q11" i="24"/>
  <c r="G30" i="6"/>
  <c r="I133" i="7"/>
  <c r="N21" i="11"/>
  <c r="N23" i="11" s="1"/>
  <c r="N28" i="11" s="1"/>
  <c r="O21" i="11"/>
  <c r="M4" i="22"/>
  <c r="I131" i="7"/>
  <c r="I128" i="7"/>
  <c r="C129" i="7"/>
  <c r="I121" i="7"/>
  <c r="I119" i="7"/>
  <c r="C117" i="7"/>
  <c r="I116" i="7"/>
  <c r="I109" i="7"/>
  <c r="C105" i="7"/>
  <c r="I104" i="7"/>
  <c r="K4" i="22"/>
  <c r="M21" i="11"/>
  <c r="I107" i="7"/>
  <c r="L20" i="25"/>
  <c r="L21" i="24"/>
  <c r="G20" i="25"/>
  <c r="G10" i="25"/>
  <c r="G11" i="24"/>
  <c r="G21" i="24"/>
  <c r="J6" i="22"/>
  <c r="J3" i="22"/>
  <c r="K16" i="11"/>
  <c r="D35" i="7"/>
  <c r="D22" i="7"/>
  <c r="D57" i="7"/>
  <c r="D9" i="7"/>
  <c r="D69" i="7"/>
  <c r="J21" i="11"/>
  <c r="P38" i="7"/>
  <c r="V23" i="11" l="1"/>
  <c r="I196" i="7"/>
  <c r="I207" i="7"/>
  <c r="U21" i="11"/>
  <c r="R4" i="22"/>
  <c r="I185" i="7"/>
  <c r="I174" i="7"/>
  <c r="T23" i="11"/>
  <c r="I163" i="7"/>
  <c r="S23" i="11"/>
  <c r="I97" i="7"/>
  <c r="N4" i="22"/>
  <c r="R23" i="11"/>
  <c r="I152" i="7"/>
  <c r="I95" i="7"/>
  <c r="I141" i="7"/>
  <c r="P21" i="11"/>
  <c r="Q23" i="11"/>
  <c r="I129" i="7"/>
  <c r="O23" i="11"/>
  <c r="I117" i="7"/>
  <c r="I105" i="7"/>
  <c r="M23" i="11"/>
  <c r="J4" i="22"/>
  <c r="K21" i="11"/>
  <c r="J23" i="11"/>
  <c r="P23" i="7"/>
  <c r="P21" i="7"/>
  <c r="P20" i="7"/>
  <c r="U23" i="11" l="1"/>
  <c r="V28" i="11"/>
  <c r="T28" i="11"/>
  <c r="S28" i="11"/>
  <c r="R28" i="11"/>
  <c r="P23" i="11"/>
  <c r="Q28" i="11"/>
  <c r="K23" i="11"/>
  <c r="O28" i="11"/>
  <c r="M28" i="11"/>
  <c r="J28" i="11"/>
  <c r="P25" i="7"/>
  <c r="U28" i="11" l="1"/>
  <c r="P28" i="11"/>
  <c r="K28" i="11"/>
  <c r="P10" i="7"/>
  <c r="P8" i="7"/>
  <c r="P7" i="7"/>
  <c r="P12" i="7"/>
  <c r="H73" i="7" l="1"/>
  <c r="H71" i="7"/>
  <c r="H69" i="7"/>
  <c r="H35" i="7"/>
  <c r="H37" i="7"/>
  <c r="H39" i="7"/>
  <c r="P13" i="7"/>
  <c r="O13" i="7"/>
  <c r="N13" i="7"/>
  <c r="M13" i="7"/>
  <c r="L13" i="7"/>
  <c r="H13" i="7"/>
  <c r="H61" i="7"/>
  <c r="H59" i="7"/>
  <c r="H57" i="7"/>
  <c r="P50" i="7"/>
  <c r="O50" i="7"/>
  <c r="N50" i="7"/>
  <c r="M50" i="7"/>
  <c r="L50" i="7"/>
  <c r="H50" i="7"/>
  <c r="P48" i="7"/>
  <c r="O48" i="7"/>
  <c r="N48" i="7"/>
  <c r="M48" i="7"/>
  <c r="L48" i="7"/>
  <c r="H48" i="7"/>
  <c r="P46" i="7"/>
  <c r="O46" i="7"/>
  <c r="N46" i="7"/>
  <c r="M46" i="7"/>
  <c r="L46" i="7"/>
  <c r="H46" i="7"/>
  <c r="P39" i="7"/>
  <c r="O39" i="7"/>
  <c r="N39" i="7"/>
  <c r="M39" i="7"/>
  <c r="L39" i="7"/>
  <c r="P37" i="7"/>
  <c r="O37" i="7"/>
  <c r="N37" i="7"/>
  <c r="M37" i="7"/>
  <c r="L37" i="7"/>
  <c r="P35" i="7"/>
  <c r="O35" i="7"/>
  <c r="N35" i="7"/>
  <c r="M35" i="7"/>
  <c r="L35" i="7"/>
  <c r="P26" i="7"/>
  <c r="O26" i="7"/>
  <c r="N26" i="7"/>
  <c r="M26" i="7"/>
  <c r="L26" i="7"/>
  <c r="P24" i="7"/>
  <c r="O24" i="7"/>
  <c r="N24" i="7"/>
  <c r="M24" i="7"/>
  <c r="L24" i="7"/>
  <c r="P22" i="7"/>
  <c r="O22" i="7"/>
  <c r="N22" i="7"/>
  <c r="M22" i="7"/>
  <c r="L22" i="7"/>
  <c r="H22" i="7"/>
  <c r="H26" i="7"/>
  <c r="H24" i="7"/>
  <c r="P11" i="7"/>
  <c r="O11" i="7"/>
  <c r="N11" i="7"/>
  <c r="M11" i="7"/>
  <c r="L11" i="7"/>
  <c r="P9" i="7"/>
  <c r="O9" i="7"/>
  <c r="N9" i="7"/>
  <c r="M9" i="7"/>
  <c r="L9" i="7"/>
  <c r="H11" i="7"/>
  <c r="H9" i="7"/>
  <c r="E109" i="9"/>
  <c r="C109" i="9"/>
  <c r="B106" i="9"/>
  <c r="H97" i="9"/>
  <c r="G96" i="9"/>
  <c r="G95" i="9"/>
  <c r="E91" i="9"/>
  <c r="C91" i="9"/>
  <c r="B88" i="9"/>
  <c r="E82" i="9"/>
  <c r="C82" i="9"/>
  <c r="H75" i="9"/>
  <c r="G75" i="9"/>
  <c r="G74" i="9"/>
  <c r="H74" i="9"/>
  <c r="H73" i="9"/>
  <c r="E70" i="9"/>
  <c r="C70" i="9"/>
  <c r="B67" i="9"/>
  <c r="E61" i="9"/>
  <c r="C61" i="9"/>
  <c r="H55" i="9"/>
  <c r="H54" i="9"/>
  <c r="G54" i="9"/>
  <c r="G53" i="9"/>
  <c r="H53" i="9"/>
  <c r="H52" i="9"/>
  <c r="H51" i="9"/>
  <c r="E49" i="9"/>
  <c r="C49" i="9"/>
  <c r="B46" i="9"/>
  <c r="E40" i="9"/>
  <c r="C40" i="9"/>
  <c r="H34" i="9"/>
  <c r="H33" i="9"/>
  <c r="G33" i="9"/>
  <c r="H30" i="9"/>
  <c r="E28" i="9"/>
  <c r="C28" i="9"/>
  <c r="E19" i="9"/>
  <c r="C19" i="9"/>
  <c r="H12" i="9"/>
  <c r="H11" i="9"/>
  <c r="G11" i="9"/>
  <c r="H8" i="9"/>
  <c r="N27" i="6" l="1"/>
  <c r="F93" i="9"/>
  <c r="F53" i="9"/>
  <c r="F51" i="9"/>
  <c r="F72" i="9"/>
  <c r="F30" i="9"/>
  <c r="H99" i="9"/>
  <c r="G99" i="9"/>
  <c r="C168" i="9" s="1"/>
  <c r="F75" i="9"/>
  <c r="F78" i="9"/>
  <c r="H112" i="9"/>
  <c r="G112" i="9"/>
  <c r="F36" i="9"/>
  <c r="F31" i="9"/>
  <c r="F34" i="9"/>
  <c r="F76" i="9"/>
  <c r="F97" i="9"/>
  <c r="F32" i="9"/>
  <c r="F74" i="9"/>
  <c r="F96" i="9"/>
  <c r="F99" i="9"/>
  <c r="F95" i="9"/>
  <c r="F54" i="9"/>
  <c r="F57" i="9"/>
  <c r="F33" i="9"/>
  <c r="F55" i="9"/>
  <c r="H78" i="9"/>
  <c r="G78" i="9"/>
  <c r="C167" i="9" s="1"/>
  <c r="G10" i="9"/>
  <c r="G32" i="9"/>
  <c r="H32" i="9"/>
  <c r="G9" i="9"/>
  <c r="G31" i="9"/>
  <c r="F52" i="9"/>
  <c r="F73" i="9"/>
  <c r="F94" i="9"/>
  <c r="C14" i="9"/>
  <c r="H9" i="9"/>
  <c r="H31" i="9"/>
  <c r="G52" i="9"/>
  <c r="G73" i="9"/>
  <c r="G94" i="9"/>
  <c r="H10" i="9"/>
  <c r="G12" i="9"/>
  <c r="G30" i="9"/>
  <c r="G34" i="9"/>
  <c r="G8" i="9"/>
  <c r="G51" i="9"/>
  <c r="G55" i="9"/>
  <c r="G72" i="9"/>
  <c r="G76" i="9"/>
  <c r="G93" i="9"/>
  <c r="G97" i="9"/>
  <c r="H72" i="9"/>
  <c r="H93" i="9"/>
  <c r="N32" i="6" l="1"/>
  <c r="N30" i="6" s="1"/>
  <c r="J30" i="6"/>
  <c r="N26" i="6"/>
  <c r="D9" i="9"/>
  <c r="D10" i="9"/>
  <c r="H115" i="9"/>
  <c r="G115" i="9"/>
  <c r="H114" i="9"/>
  <c r="G114" i="9"/>
  <c r="F14" i="9"/>
  <c r="F9" i="9"/>
  <c r="H57" i="9"/>
  <c r="G57" i="9"/>
  <c r="C166" i="9" s="1"/>
  <c r="F10" i="9"/>
  <c r="H113" i="9"/>
  <c r="G113" i="9"/>
  <c r="H111" i="9"/>
  <c r="G111" i="9"/>
  <c r="H36" i="9"/>
  <c r="G36" i="9"/>
  <c r="C165" i="9" s="1"/>
  <c r="F11" i="9"/>
  <c r="D14" i="9"/>
  <c r="D12" i="9"/>
  <c r="H14" i="9"/>
  <c r="D8" i="9"/>
  <c r="G14" i="9"/>
  <c r="C164" i="9" s="1"/>
  <c r="F12" i="9"/>
  <c r="D11" i="9"/>
  <c r="F8" i="9"/>
  <c r="C169" i="9" l="1"/>
  <c r="F113" i="9"/>
  <c r="F115" i="9"/>
  <c r="F111" i="9"/>
  <c r="F114" i="9"/>
  <c r="H117" i="9"/>
  <c r="G117" i="9"/>
  <c r="F117" i="9"/>
  <c r="F112" i="9"/>
  <c r="G72" i="7" l="1"/>
  <c r="F72" i="7"/>
  <c r="I72" i="7" l="1"/>
  <c r="F10" i="7"/>
  <c r="G10" i="7"/>
  <c r="F60" i="7" l="1"/>
  <c r="F49" i="7"/>
  <c r="F25" i="7"/>
  <c r="F12" i="7"/>
  <c r="F70" i="7"/>
  <c r="F58" i="7"/>
  <c r="F47" i="7"/>
  <c r="F23" i="7"/>
  <c r="G60" i="7" l="1"/>
  <c r="G49" i="7"/>
  <c r="G25" i="7"/>
  <c r="G12" i="7"/>
  <c r="G70" i="7"/>
  <c r="I70" i="7" s="1"/>
  <c r="G58" i="7"/>
  <c r="G47" i="7"/>
  <c r="G23" i="7"/>
  <c r="G67" i="7"/>
  <c r="G55" i="7"/>
  <c r="G44" i="7"/>
  <c r="G33" i="7"/>
  <c r="G20" i="7"/>
  <c r="G7" i="7"/>
  <c r="G11" i="7" l="1"/>
  <c r="G73" i="7"/>
  <c r="G71" i="7"/>
  <c r="G61" i="7"/>
  <c r="G59" i="7"/>
  <c r="G50" i="7"/>
  <c r="G48" i="7"/>
  <c r="G26" i="7"/>
  <c r="G24" i="7"/>
  <c r="G13" i="7"/>
  <c r="F15" i="15"/>
  <c r="D15" i="15"/>
  <c r="C15" i="15"/>
  <c r="I13" i="15"/>
  <c r="F13" i="15"/>
  <c r="C13" i="15"/>
  <c r="E9" i="15"/>
  <c r="H9" i="15"/>
  <c r="F9" i="15"/>
  <c r="D13" i="15"/>
  <c r="F67" i="7"/>
  <c r="F55" i="7"/>
  <c r="F20" i="7"/>
  <c r="F7" i="7"/>
  <c r="F73" i="7" l="1"/>
  <c r="F71" i="7"/>
  <c r="F26" i="7"/>
  <c r="F24" i="7"/>
  <c r="F11" i="7"/>
  <c r="F13" i="7"/>
  <c r="F59" i="7"/>
  <c r="F61" i="7"/>
  <c r="F9" i="14"/>
  <c r="F44" i="7"/>
  <c r="F15" i="14"/>
  <c r="F13" i="14"/>
  <c r="E9" i="14"/>
  <c r="F33" i="7"/>
  <c r="F10" i="15"/>
  <c r="G45" i="7"/>
  <c r="E10" i="15"/>
  <c r="G34" i="7"/>
  <c r="H10" i="15"/>
  <c r="G56" i="7"/>
  <c r="I15" i="15"/>
  <c r="D9" i="14"/>
  <c r="D13" i="14"/>
  <c r="D15" i="14"/>
  <c r="H9" i="14"/>
  <c r="H13" i="14"/>
  <c r="H15" i="14"/>
  <c r="I15" i="14"/>
  <c r="I13" i="14"/>
  <c r="C9" i="14"/>
  <c r="C13" i="14"/>
  <c r="C15" i="14"/>
  <c r="I9" i="14"/>
  <c r="H13" i="15"/>
  <c r="C9" i="15"/>
  <c r="H15" i="15"/>
  <c r="D9" i="15"/>
  <c r="I9" i="15"/>
  <c r="H20" i="13"/>
  <c r="H19" i="13"/>
  <c r="L25" i="6"/>
  <c r="N25" i="6"/>
  <c r="M25" i="6"/>
  <c r="J25" i="6"/>
  <c r="L20" i="13" l="1"/>
  <c r="L19" i="13"/>
  <c r="G57" i="7"/>
  <c r="G68" i="7"/>
  <c r="D10" i="14"/>
  <c r="F21" i="7"/>
  <c r="I10" i="14"/>
  <c r="F68" i="7"/>
  <c r="H10" i="14"/>
  <c r="F56" i="7"/>
  <c r="G46" i="7"/>
  <c r="C10" i="14"/>
  <c r="F8" i="7"/>
  <c r="G35" i="7"/>
  <c r="F48" i="7"/>
  <c r="F50" i="7"/>
  <c r="F10" i="14"/>
  <c r="F45" i="7"/>
  <c r="D10" i="15"/>
  <c r="G21" i="7"/>
  <c r="C10" i="15"/>
  <c r="G8" i="7"/>
  <c r="E10" i="14"/>
  <c r="F34" i="7"/>
  <c r="I10" i="15"/>
  <c r="H21" i="13"/>
  <c r="L21" i="13" l="1"/>
  <c r="L25" i="13" s="1"/>
  <c r="G69" i="7"/>
  <c r="F69" i="7"/>
  <c r="F22" i="7"/>
  <c r="F35" i="7"/>
  <c r="F9" i="7"/>
  <c r="F46" i="7"/>
  <c r="F57" i="7"/>
  <c r="G9" i="7"/>
  <c r="G22" i="7"/>
  <c r="E21" i="13"/>
  <c r="D21" i="13"/>
  <c r="L24" i="13" l="1"/>
  <c r="F21" i="13"/>
  <c r="C21" i="13"/>
  <c r="C24" i="13" s="1"/>
  <c r="K25" i="6" l="1"/>
  <c r="I21" i="13"/>
  <c r="E82" i="12" l="1"/>
  <c r="F82" i="12"/>
  <c r="F5" i="12" l="1"/>
  <c r="F24" i="12" s="1"/>
  <c r="F34" i="12" s="1"/>
  <c r="F38" i="12" s="1"/>
  <c r="E5" i="12"/>
  <c r="E24" i="12" l="1"/>
  <c r="E34" i="12" s="1"/>
  <c r="E38" i="12" s="1"/>
  <c r="E73" i="12" s="1"/>
  <c r="E77" i="12" s="1"/>
  <c r="F73" i="12"/>
  <c r="F77" i="12" s="1"/>
  <c r="D82" i="12" l="1"/>
  <c r="H82" i="12"/>
  <c r="G82" i="12"/>
  <c r="C5" i="12"/>
  <c r="C24" i="12" s="1"/>
  <c r="C34" i="12" s="1"/>
  <c r="C38" i="12" s="1"/>
  <c r="D5" i="12"/>
  <c r="D24" i="12" s="1"/>
  <c r="D34" i="12" s="1"/>
  <c r="D38" i="12" s="1"/>
  <c r="G5" i="12"/>
  <c r="G24" i="12" s="1"/>
  <c r="G34" i="12" s="1"/>
  <c r="G38" i="12" s="1"/>
  <c r="H5" i="12"/>
  <c r="H24" i="12" s="1"/>
  <c r="H34" i="12" s="1"/>
  <c r="H38" i="12" s="1"/>
  <c r="H73" i="12" l="1"/>
  <c r="H77" i="12" s="1"/>
  <c r="G73" i="12"/>
  <c r="G77" i="12" s="1"/>
  <c r="D73" i="12"/>
  <c r="D77" i="12" s="1"/>
  <c r="C73" i="12"/>
  <c r="C77" i="12" s="1"/>
  <c r="C55" i="10"/>
  <c r="D55" i="10"/>
  <c r="E55" i="10"/>
  <c r="C47" i="10"/>
  <c r="D47" i="10"/>
  <c r="E47" i="10"/>
  <c r="C38" i="10"/>
  <c r="D38" i="10"/>
  <c r="E38" i="10"/>
  <c r="C22" i="10"/>
  <c r="D22" i="10"/>
  <c r="E22" i="10"/>
  <c r="C15" i="10"/>
  <c r="D15" i="10"/>
  <c r="E15" i="10"/>
  <c r="G38" i="11"/>
  <c r="G42" i="11"/>
  <c r="G34" i="11"/>
  <c r="E41" i="11"/>
  <c r="E42" i="11"/>
  <c r="E38" i="11"/>
  <c r="E34" i="11"/>
  <c r="E7" i="22" l="1"/>
  <c r="E6" i="22"/>
  <c r="E10" i="11"/>
  <c r="E83" i="12"/>
  <c r="H47" i="10"/>
  <c r="H55" i="10"/>
  <c r="H38" i="10"/>
  <c r="F47" i="10"/>
  <c r="H22" i="10"/>
  <c r="F55" i="10"/>
  <c r="F15" i="10"/>
  <c r="F38" i="10"/>
  <c r="F22" i="10"/>
  <c r="H15" i="10"/>
  <c r="E57" i="10"/>
  <c r="E58" i="10" s="1"/>
  <c r="E24" i="10"/>
  <c r="D57" i="10"/>
  <c r="D58" i="10" s="1"/>
  <c r="D24" i="10"/>
  <c r="C57" i="10"/>
  <c r="C58" i="10" s="1"/>
  <c r="C24" i="10"/>
  <c r="G15" i="10"/>
  <c r="G22" i="10"/>
  <c r="G38" i="10"/>
  <c r="G47" i="10"/>
  <c r="G55" i="10"/>
  <c r="G41" i="11"/>
  <c r="G10" i="11"/>
  <c r="G16" i="11" s="1"/>
  <c r="F12" i="11"/>
  <c r="E3" i="22" l="1"/>
  <c r="E16" i="11"/>
  <c r="F57" i="10"/>
  <c r="F58" i="10" s="1"/>
  <c r="F24" i="10"/>
  <c r="G24" i="10"/>
  <c r="H57" i="10"/>
  <c r="H58" i="10" s="1"/>
  <c r="H24" i="10"/>
  <c r="G57" i="10"/>
  <c r="G58" i="10" s="1"/>
  <c r="G21" i="11"/>
  <c r="G23" i="11" s="1"/>
  <c r="G28" i="11" s="1"/>
  <c r="H42" i="11"/>
  <c r="H41" i="11"/>
  <c r="G81" i="12"/>
  <c r="G83" i="12" s="1"/>
  <c r="C42" i="11"/>
  <c r="F27" i="11"/>
  <c r="C81" i="12"/>
  <c r="C83" i="12" s="1"/>
  <c r="D83" i="12"/>
  <c r="F22" i="11"/>
  <c r="G7" i="22" l="1"/>
  <c r="E4" i="22"/>
  <c r="E21" i="11"/>
  <c r="E23" i="11" s="1"/>
  <c r="F9" i="11"/>
  <c r="F8" i="11"/>
  <c r="F20" i="11"/>
  <c r="F15" i="11"/>
  <c r="F13" i="11"/>
  <c r="F37" i="11"/>
  <c r="F19" i="11"/>
  <c r="F11" i="11"/>
  <c r="F26" i="11"/>
  <c r="F14" i="11"/>
  <c r="D41" i="11"/>
  <c r="D7" i="22" s="1"/>
  <c r="F32" i="11"/>
  <c r="D42" i="11"/>
  <c r="F33" i="11"/>
  <c r="D38" i="11"/>
  <c r="F36" i="11"/>
  <c r="H10" i="11"/>
  <c r="H38" i="11"/>
  <c r="C34" i="11"/>
  <c r="H34" i="11"/>
  <c r="D10" i="11"/>
  <c r="C10" i="11"/>
  <c r="C38" i="11"/>
  <c r="D34" i="11"/>
  <c r="D6" i="22" s="1"/>
  <c r="C41" i="11"/>
  <c r="C7" i="22" s="1"/>
  <c r="F83" i="12" l="1"/>
  <c r="G3" i="22"/>
  <c r="F42" i="11"/>
  <c r="G6" i="22"/>
  <c r="C6" i="22"/>
  <c r="D16" i="11"/>
  <c r="D3" i="22"/>
  <c r="C16" i="11"/>
  <c r="C4" i="22" s="1"/>
  <c r="C3" i="22"/>
  <c r="H16" i="11"/>
  <c r="E28" i="11"/>
  <c r="F10" i="11"/>
  <c r="F38" i="11"/>
  <c r="F34" i="11"/>
  <c r="F41" i="11"/>
  <c r="F7" i="22" l="1"/>
  <c r="F6" i="22"/>
  <c r="G4" i="22"/>
  <c r="C21" i="11"/>
  <c r="C23" i="11" s="1"/>
  <c r="F16" i="11"/>
  <c r="F21" i="11" s="1"/>
  <c r="F3" i="22"/>
  <c r="D21" i="11"/>
  <c r="D23" i="11" s="1"/>
  <c r="D4" i="22"/>
  <c r="H21" i="11"/>
  <c r="F4" i="22" l="1"/>
  <c r="H23" i="11"/>
  <c r="C28" i="11"/>
  <c r="D28" i="11"/>
  <c r="F23" i="11" l="1"/>
  <c r="H28" i="11"/>
  <c r="I41" i="11"/>
  <c r="F28" i="11" l="1"/>
  <c r="H7" i="22"/>
  <c r="I42" i="11"/>
  <c r="H83" i="12"/>
  <c r="I34" i="11"/>
  <c r="H6" i="22" l="1"/>
  <c r="I10" i="11"/>
  <c r="I38" i="11"/>
  <c r="H3" i="22" l="1"/>
  <c r="I16" i="11"/>
  <c r="H4" i="22" l="1"/>
  <c r="I21" i="11"/>
  <c r="I23" i="11" l="1"/>
  <c r="I28" i="11" l="1"/>
  <c r="G27" i="6" l="1"/>
  <c r="G26" i="6"/>
  <c r="F25" i="6"/>
  <c r="E25" i="6"/>
  <c r="D25" i="6"/>
  <c r="C25" i="6"/>
  <c r="G22" i="6"/>
  <c r="G21" i="6"/>
  <c r="F20" i="6"/>
  <c r="E20" i="6"/>
  <c r="D20" i="6"/>
  <c r="C20" i="6"/>
  <c r="G17" i="6"/>
  <c r="G16" i="6"/>
  <c r="F15" i="6"/>
  <c r="E15" i="6"/>
  <c r="D15" i="6"/>
  <c r="C15" i="6"/>
  <c r="G12" i="6"/>
  <c r="G11" i="6"/>
  <c r="F10" i="6"/>
  <c r="E10" i="6"/>
  <c r="D10" i="6"/>
  <c r="C10" i="6"/>
  <c r="G7" i="6"/>
  <c r="G6" i="6"/>
  <c r="F5" i="6"/>
  <c r="E5" i="6"/>
  <c r="D5" i="6"/>
  <c r="C5" i="6"/>
  <c r="G20" i="6" l="1"/>
  <c r="G10" i="6"/>
  <c r="G25" i="6"/>
  <c r="G5" i="6"/>
  <c r="G15" i="6"/>
  <c r="F24" i="13" l="1"/>
  <c r="C44" i="7"/>
  <c r="F25" i="13"/>
  <c r="I44" i="7" l="1"/>
  <c r="C45" i="7" l="1"/>
  <c r="I45" i="7" l="1"/>
  <c r="I46" i="7" s="1"/>
  <c r="C46" i="7"/>
  <c r="C47" i="7"/>
  <c r="I47" i="7" s="1"/>
  <c r="I48" i="7" s="1"/>
  <c r="C48" i="7" l="1"/>
  <c r="C49" i="7"/>
  <c r="I49" i="7" s="1"/>
  <c r="I50" i="7" s="1"/>
  <c r="C50" i="7" l="1"/>
  <c r="C12" i="7" l="1"/>
  <c r="I12" i="7" s="1"/>
  <c r="H24" i="13" l="1"/>
  <c r="C55" i="7"/>
  <c r="C7" i="7"/>
  <c r="J7" i="7" l="1"/>
  <c r="I7" i="7"/>
  <c r="I13" i="7" s="1"/>
  <c r="I55" i="7"/>
  <c r="C13" i="7"/>
  <c r="C25" i="13"/>
  <c r="C10" i="13" l="1"/>
  <c r="C11" i="13" l="1"/>
  <c r="C8" i="7"/>
  <c r="C10" i="7"/>
  <c r="I10" i="7" s="1"/>
  <c r="J8" i="7" l="1"/>
  <c r="I8" i="7"/>
  <c r="I9" i="7" s="1"/>
  <c r="C11" i="7"/>
  <c r="I11" i="7"/>
  <c r="C9" i="7"/>
  <c r="J9" i="7" s="1"/>
  <c r="H25" i="13"/>
  <c r="C58" i="7" l="1"/>
  <c r="I58" i="7" s="1"/>
  <c r="I59" i="7" s="1"/>
  <c r="H10" i="13"/>
  <c r="C59" i="7" l="1"/>
  <c r="H11" i="13"/>
  <c r="C56" i="7"/>
  <c r="C60" i="7"/>
  <c r="I60" i="7" s="1"/>
  <c r="I61" i="7" s="1"/>
  <c r="D25" i="13"/>
  <c r="I56" i="7" l="1"/>
  <c r="I57" i="7" s="1"/>
  <c r="C61" i="7"/>
  <c r="C57" i="7"/>
  <c r="D24" i="13"/>
  <c r="C20" i="7"/>
  <c r="D10" i="13"/>
  <c r="J20" i="7" l="1"/>
  <c r="I20" i="7"/>
  <c r="C25" i="7"/>
  <c r="I25" i="7" s="1"/>
  <c r="D11" i="13"/>
  <c r="C21" i="7"/>
  <c r="I26" i="7" l="1"/>
  <c r="J21" i="7"/>
  <c r="I21" i="7"/>
  <c r="I22" i="7" s="1"/>
  <c r="C22" i="7"/>
  <c r="J22" i="7" s="1"/>
  <c r="C26" i="7"/>
  <c r="C23" i="7"/>
  <c r="I23" i="7" s="1"/>
  <c r="I24" i="7" s="1"/>
  <c r="I24" i="13" l="1"/>
  <c r="C67" i="7"/>
  <c r="C24" i="7"/>
  <c r="I25" i="13"/>
  <c r="I67" i="7" l="1"/>
  <c r="C71" i="7"/>
  <c r="C73" i="7"/>
  <c r="I10" i="13"/>
  <c r="K10" i="13" s="1"/>
  <c r="K11" i="13" l="1"/>
  <c r="C92" i="7"/>
  <c r="I73" i="7"/>
  <c r="I71" i="7"/>
  <c r="C68" i="7"/>
  <c r="I11" i="13"/>
  <c r="C93" i="7" l="1"/>
  <c r="I92" i="7"/>
  <c r="I68" i="7"/>
  <c r="I69" i="7" s="1"/>
  <c r="C69" i="7"/>
  <c r="I93" i="7" l="1"/>
  <c r="F59" i="9"/>
  <c r="F80" i="9"/>
  <c r="F16" i="9" l="1"/>
  <c r="H80" i="9"/>
  <c r="G80" i="9"/>
  <c r="H16" i="9"/>
  <c r="G16" i="9"/>
  <c r="D16" i="9"/>
  <c r="H59" i="9"/>
  <c r="G59" i="9"/>
  <c r="E102" i="9"/>
  <c r="F38" i="9"/>
  <c r="G101" i="9" l="1"/>
  <c r="C102" i="9"/>
  <c r="H101" i="9"/>
  <c r="G38" i="9"/>
  <c r="H38" i="9"/>
  <c r="G119" i="9" l="1"/>
  <c r="H119" i="9"/>
  <c r="G79" i="7" l="1"/>
  <c r="F79" i="7"/>
  <c r="J24" i="13" l="1"/>
  <c r="C79" i="7"/>
  <c r="J19" i="24"/>
  <c r="J9" i="14"/>
  <c r="J9" i="15"/>
  <c r="H81" i="7"/>
  <c r="I79" i="7" l="1"/>
  <c r="J10" i="14"/>
  <c r="F80" i="7"/>
  <c r="F81" i="7" s="1"/>
  <c r="G80" i="7"/>
  <c r="J10" i="15"/>
  <c r="H83" i="7"/>
  <c r="G81" i="7" l="1"/>
  <c r="H85" i="7"/>
  <c r="J13" i="14" l="1"/>
  <c r="F82" i="7"/>
  <c r="F83" i="7" l="1"/>
  <c r="J15" i="14"/>
  <c r="F84" i="7"/>
  <c r="F85" i="7" l="1"/>
  <c r="J25" i="13" l="1"/>
  <c r="J20" i="24"/>
  <c r="J10" i="24"/>
  <c r="D80" i="7" l="1"/>
  <c r="D81" i="7" s="1"/>
  <c r="J21" i="24"/>
  <c r="J11" i="24"/>
  <c r="G82" i="7"/>
  <c r="J13" i="15"/>
  <c r="C80" i="7"/>
  <c r="J11" i="13"/>
  <c r="I80" i="7" l="1"/>
  <c r="G83" i="7"/>
  <c r="C82" i="7"/>
  <c r="I82" i="7" s="1"/>
  <c r="C81" i="7"/>
  <c r="G84" i="7"/>
  <c r="J15" i="15"/>
  <c r="I83" i="7" l="1"/>
  <c r="I81" i="7"/>
  <c r="G85" i="7"/>
  <c r="C83" i="7"/>
  <c r="C84" i="7" l="1"/>
  <c r="I84" i="7" s="1"/>
  <c r="I85" i="7" l="1"/>
  <c r="C85" i="7"/>
  <c r="E20" i="24" l="1"/>
  <c r="E25" i="13"/>
  <c r="G36" i="7" l="1"/>
  <c r="E13" i="15"/>
  <c r="G37" i="7" l="1"/>
  <c r="G38" i="7"/>
  <c r="E15" i="15"/>
  <c r="G39" i="7" l="1"/>
  <c r="F36" i="7" l="1"/>
  <c r="E13" i="14"/>
  <c r="F37" i="7" l="1"/>
  <c r="F38" i="7"/>
  <c r="E15" i="14"/>
  <c r="F39" i="7" l="1"/>
  <c r="E10" i="13" l="1"/>
  <c r="E24" i="13"/>
  <c r="C33" i="7"/>
  <c r="E19" i="24"/>
  <c r="I33" i="7" l="1"/>
  <c r="E11" i="13"/>
  <c r="C34" i="7"/>
  <c r="I34" i="7" l="1"/>
  <c r="I35" i="7" s="1"/>
  <c r="C35" i="7"/>
  <c r="C36" i="7"/>
  <c r="I36" i="7" s="1"/>
  <c r="I37" i="7" s="1"/>
  <c r="C37" i="7" l="1"/>
  <c r="C38" i="7" l="1"/>
  <c r="I38" i="7" s="1"/>
  <c r="I39" i="7" s="1"/>
  <c r="C39" i="7" l="1"/>
  <c r="N5" i="22" l="1"/>
  <c r="E85" i="9" l="1"/>
  <c r="E64" i="9"/>
  <c r="E43" i="9" l="1"/>
  <c r="G21" i="9"/>
  <c r="H21" i="9"/>
  <c r="C22" i="9"/>
  <c r="H20" i="9"/>
  <c r="G20" i="9"/>
  <c r="E22" i="9"/>
  <c r="G42" i="9"/>
  <c r="H42" i="9"/>
  <c r="C43" i="9"/>
  <c r="G41" i="9"/>
  <c r="H41" i="9"/>
  <c r="C64" i="9"/>
  <c r="H63" i="9"/>
  <c r="G63" i="9"/>
  <c r="H62" i="9"/>
  <c r="G62" i="9"/>
  <c r="G84" i="9"/>
  <c r="C85" i="9"/>
  <c r="H83" i="9"/>
  <c r="G83" i="9"/>
  <c r="C154" i="9" l="1"/>
  <c r="D154" i="9" s="1"/>
  <c r="C151" i="9"/>
  <c r="D151" i="9" s="1"/>
  <c r="C152" i="9"/>
  <c r="D152" i="9" s="1"/>
  <c r="C141" i="9"/>
  <c r="C143" i="9"/>
  <c r="C144" i="9"/>
  <c r="C153" i="9"/>
  <c r="D153" i="9" s="1"/>
  <c r="C142" i="9"/>
  <c r="H43" i="9"/>
  <c r="G43" i="9"/>
  <c r="H64" i="9"/>
  <c r="G64" i="9"/>
  <c r="C150" i="9"/>
  <c r="H85" i="9"/>
  <c r="G85" i="9"/>
  <c r="H22" i="9"/>
  <c r="G22" i="9"/>
  <c r="D144" i="9" l="1"/>
  <c r="D143" i="9"/>
  <c r="D142" i="9"/>
  <c r="D141" i="9"/>
  <c r="D150" i="9"/>
  <c r="C155" i="9"/>
  <c r="D140" i="9"/>
  <c r="C145" i="9" l="1"/>
  <c r="C146" i="9" s="1"/>
  <c r="D155" i="9"/>
  <c r="C156" i="9"/>
  <c r="D145" i="9"/>
  <c r="O5" i="22" l="1"/>
  <c r="O54" i="12" l="1"/>
  <c r="O57" i="12" s="1"/>
  <c r="O73" i="12" s="1"/>
  <c r="O76" i="12" l="1"/>
  <c r="O75" i="12" l="1"/>
  <c r="O77" i="12" s="1"/>
  <c r="P5" i="22" l="1"/>
  <c r="Q54" i="12" l="1"/>
  <c r="Q57" i="12" s="1"/>
  <c r="Q73" i="12" s="1"/>
  <c r="Q76" i="12" l="1"/>
  <c r="Q75" i="12" l="1"/>
  <c r="Q77" i="12" s="1"/>
  <c r="J40" i="12" l="1"/>
  <c r="S75" i="12" l="1"/>
  <c r="S77" i="12" s="1"/>
  <c r="Y20" i="11" l="1"/>
  <c r="Y32" i="11"/>
  <c r="Y11" i="11" l="1"/>
  <c r="Y22" i="11"/>
  <c r="Y36" i="11"/>
  <c r="Y12" i="11"/>
  <c r="Y41" i="11"/>
  <c r="Y34" i="11"/>
  <c r="Y8" i="11"/>
  <c r="Y18" i="11"/>
  <c r="Y9" i="11"/>
  <c r="U11" i="12"/>
  <c r="U18" i="12"/>
  <c r="U16" i="12"/>
  <c r="Y13" i="11" l="1"/>
  <c r="U6" i="22"/>
  <c r="Y38" i="11"/>
  <c r="Y19" i="11"/>
  <c r="U7" i="22"/>
  <c r="U81" i="12"/>
  <c r="U83" i="12" s="1"/>
  <c r="Y10" i="11"/>
  <c r="Y15" i="11"/>
  <c r="U61" i="12"/>
  <c r="U71" i="12" s="1"/>
  <c r="U14" i="12"/>
  <c r="U15" i="12"/>
  <c r="U44" i="12"/>
  <c r="U13" i="12"/>
  <c r="U3" i="22" l="1"/>
  <c r="Y16" i="11"/>
  <c r="Y21" i="11" l="1"/>
  <c r="U4" i="22"/>
  <c r="Y23" i="11" l="1"/>
  <c r="U54" i="12"/>
  <c r="Y28" i="11" l="1"/>
  <c r="U3" i="12" l="1"/>
  <c r="U5" i="12" s="1"/>
  <c r="U24" i="12" s="1"/>
  <c r="U42" i="12" l="1"/>
  <c r="U57" i="12" s="1"/>
  <c r="U27" i="12" l="1"/>
  <c r="U34" i="12" s="1"/>
  <c r="U38" i="12" s="1"/>
  <c r="U73" i="12" s="1"/>
  <c r="U77" i="12" l="1"/>
  <c r="V5" i="22" l="1"/>
  <c r="Z20" i="11" l="1"/>
  <c r="AB20" i="11" s="1"/>
  <c r="AC20" i="11" s="1"/>
  <c r="Z32" i="11"/>
  <c r="AA12" i="11"/>
  <c r="AD12" i="11" s="1"/>
  <c r="AE12" i="11" s="1"/>
  <c r="AA15" i="11"/>
  <c r="AD15" i="11" s="1"/>
  <c r="AE15" i="11" s="1"/>
  <c r="AA36" i="11"/>
  <c r="AA20" i="11"/>
  <c r="AD20" i="11" s="1"/>
  <c r="AE20" i="11" s="1"/>
  <c r="AA11" i="11"/>
  <c r="AD11" i="11" s="1"/>
  <c r="AE11" i="11" s="1"/>
  <c r="Z9" i="11" l="1"/>
  <c r="AB9" i="11" s="1"/>
  <c r="AC9" i="11" s="1"/>
  <c r="Z11" i="11"/>
  <c r="AB11" i="11" s="1"/>
  <c r="AC11" i="11" s="1"/>
  <c r="Z8" i="11"/>
  <c r="Z41" i="11"/>
  <c r="Z34" i="11"/>
  <c r="AB32" i="11"/>
  <c r="AC32" i="11" s="1"/>
  <c r="Z22" i="11"/>
  <c r="AB22" i="11" s="1"/>
  <c r="AC22" i="11" s="1"/>
  <c r="Z12" i="11"/>
  <c r="AB12" i="11" s="1"/>
  <c r="AC12" i="11" s="1"/>
  <c r="Z18" i="11"/>
  <c r="AB18" i="11" s="1"/>
  <c r="AC18" i="11" s="1"/>
  <c r="Z36" i="11"/>
  <c r="AA38" i="11"/>
  <c r="AD38" i="11" s="1"/>
  <c r="AE38" i="11" s="1"/>
  <c r="AD36" i="11"/>
  <c r="AE36" i="11" s="1"/>
  <c r="AA18" i="11"/>
  <c r="AD18" i="11" s="1"/>
  <c r="AE18" i="11" s="1"/>
  <c r="V11" i="12"/>
  <c r="V18" i="12"/>
  <c r="AA13" i="11"/>
  <c r="AD13" i="11" s="1"/>
  <c r="AE13" i="11" s="1"/>
  <c r="V16" i="12"/>
  <c r="AA9" i="11"/>
  <c r="AD9" i="11" s="1"/>
  <c r="AE9" i="11" s="1"/>
  <c r="V6" i="22" l="1"/>
  <c r="AB34" i="11"/>
  <c r="AC34" i="11" s="1"/>
  <c r="V7" i="22"/>
  <c r="AB41" i="11"/>
  <c r="AC41" i="11" s="1"/>
  <c r="Z15" i="11"/>
  <c r="AB15" i="11" s="1"/>
  <c r="AC15" i="11" s="1"/>
  <c r="Z10" i="11"/>
  <c r="AB8" i="11"/>
  <c r="AC8" i="11" s="1"/>
  <c r="C121" i="9"/>
  <c r="Z38" i="11"/>
  <c r="AB38" i="11" s="1"/>
  <c r="AC38" i="11" s="1"/>
  <c r="AB36" i="11"/>
  <c r="AC36" i="11" s="1"/>
  <c r="Z19" i="11"/>
  <c r="AB19" i="11" s="1"/>
  <c r="AC19" i="11" s="1"/>
  <c r="Z13" i="11"/>
  <c r="AB13" i="11" s="1"/>
  <c r="AC13" i="11" s="1"/>
  <c r="AA19" i="11"/>
  <c r="AD19" i="11" s="1"/>
  <c r="AE19" i="11" s="1"/>
  <c r="AA22" i="11"/>
  <c r="AD22" i="11" s="1"/>
  <c r="AE22" i="11" s="1"/>
  <c r="V61" i="12"/>
  <c r="V71" i="12" s="1"/>
  <c r="V14" i="12"/>
  <c r="V15" i="12"/>
  <c r="V44" i="12"/>
  <c r="V13" i="12"/>
  <c r="V3" i="22" l="1"/>
  <c r="Z16" i="11"/>
  <c r="C120" i="9"/>
  <c r="AB10" i="11"/>
  <c r="AC10" i="11" s="1"/>
  <c r="V4" i="22" l="1"/>
  <c r="Z21" i="11"/>
  <c r="AB16" i="11"/>
  <c r="AC16" i="11" s="1"/>
  <c r="V54" i="12"/>
  <c r="AA8" i="11"/>
  <c r="Z23" i="11" l="1"/>
  <c r="AB21" i="11"/>
  <c r="AC21" i="11" s="1"/>
  <c r="V81" i="12"/>
  <c r="V83" i="12" s="1"/>
  <c r="AA10" i="11"/>
  <c r="AD8" i="11"/>
  <c r="AE8" i="11" s="1"/>
  <c r="L121" i="9"/>
  <c r="Z28" i="11" l="1"/>
  <c r="AB28" i="11" s="1"/>
  <c r="AC28" i="11" s="1"/>
  <c r="AB23" i="11"/>
  <c r="AC23" i="11" s="1"/>
  <c r="AA16" i="11"/>
  <c r="AD10" i="11"/>
  <c r="AE10" i="11" s="1"/>
  <c r="L120" i="9"/>
  <c r="AA21" i="11" l="1"/>
  <c r="AD16" i="11"/>
  <c r="AE16" i="11" s="1"/>
  <c r="AA23" i="11" l="1"/>
  <c r="AD21" i="11"/>
  <c r="AE21" i="11" s="1"/>
  <c r="AA28" i="11" l="1"/>
  <c r="AD28" i="11" s="1"/>
  <c r="AE28" i="11" s="1"/>
  <c r="AD23" i="11"/>
  <c r="AE23" i="11" s="1"/>
  <c r="V3" i="12"/>
  <c r="V5" i="12" s="1"/>
  <c r="V24" i="12" s="1"/>
  <c r="AA32" i="11" l="1"/>
  <c r="AD32" i="11" l="1"/>
  <c r="AE32" i="11" s="1"/>
  <c r="AA41" i="11"/>
  <c r="AD41" i="11" s="1"/>
  <c r="AE41" i="11" s="1"/>
  <c r="AA34" i="11"/>
  <c r="AD34" i="11" s="1"/>
  <c r="AE34" i="11" s="1"/>
  <c r="V42" i="12" l="1"/>
  <c r="V57" i="12" s="1"/>
  <c r="V27" i="12" l="1"/>
  <c r="V34" i="12" s="1"/>
  <c r="V38" i="12" s="1"/>
  <c r="V73" i="12" s="1"/>
  <c r="V75" i="12" l="1"/>
  <c r="V77" i="12" s="1"/>
</calcChain>
</file>

<file path=xl/sharedStrings.xml><?xml version="1.0" encoding="utf-8"?>
<sst xmlns="http://schemas.openxmlformats.org/spreadsheetml/2006/main" count="1256" uniqueCount="366">
  <si>
    <t>Choose Currency:</t>
  </si>
  <si>
    <t>Investor Relations Contacts</t>
  </si>
  <si>
    <t>InvestorRelations@aramex.com</t>
  </si>
  <si>
    <t>Anca Cighi</t>
  </si>
  <si>
    <t>Investor Relations Officer</t>
  </si>
  <si>
    <t>anca@aramex.com</t>
  </si>
  <si>
    <t>Aramex Data Book Contents</t>
  </si>
  <si>
    <t>Income Statement</t>
  </si>
  <si>
    <t>Balance Sheet</t>
  </si>
  <si>
    <t xml:space="preserve">Cashflow and Capex </t>
  </si>
  <si>
    <t xml:space="preserve">Aramex Courier Product </t>
  </si>
  <si>
    <t>Aramex Freight Product</t>
  </si>
  <si>
    <t>Aramex Logistics Product</t>
  </si>
  <si>
    <t>Regional Breakdown</t>
  </si>
  <si>
    <t>Historic Product Breakdown Key Financials</t>
  </si>
  <si>
    <t xml:space="preserve">Historic Express Volume Data </t>
  </si>
  <si>
    <t xml:space="preserve">Income statement </t>
  </si>
  <si>
    <t>Growth</t>
  </si>
  <si>
    <t>Q1 2021</t>
  </si>
  <si>
    <t>Q2 2021</t>
  </si>
  <si>
    <t>Q3 2021</t>
  </si>
  <si>
    <t>Q4 2021</t>
  </si>
  <si>
    <t>2021</t>
  </si>
  <si>
    <t>Q1 2022</t>
  </si>
  <si>
    <t>Q2 2022</t>
  </si>
  <si>
    <t>Q3 2022</t>
  </si>
  <si>
    <t>Q4 2022</t>
  </si>
  <si>
    <t>2022</t>
  </si>
  <si>
    <t>Q1 2023</t>
  </si>
  <si>
    <t>Q2 2023</t>
  </si>
  <si>
    <t>Q3 2023</t>
  </si>
  <si>
    <t>Q4 2023</t>
  </si>
  <si>
    <t>2023</t>
  </si>
  <si>
    <t>Q1 2024</t>
  </si>
  <si>
    <t>Q2 2024</t>
  </si>
  <si>
    <t>Q3 2024</t>
  </si>
  <si>
    <t>%</t>
  </si>
  <si>
    <t xml:space="preserve">Continuing operations </t>
  </si>
  <si>
    <t xml:space="preserve"> Rendering of services </t>
  </si>
  <si>
    <t xml:space="preserve"> Cost of services </t>
  </si>
  <si>
    <t>Gross Profit</t>
  </si>
  <si>
    <t xml:space="preserve"> Selling and marketing expenses</t>
  </si>
  <si>
    <t xml:space="preserve"> Net impairment loss on accounts receivable </t>
  </si>
  <si>
    <t xml:space="preserve"> Administrative expenses </t>
  </si>
  <si>
    <t xml:space="preserve"> Net Gain/(loss) on property damages and customer goods </t>
  </si>
  <si>
    <t xml:space="preserve"> Other income/-net</t>
  </si>
  <si>
    <t xml:space="preserve">Operating profit </t>
  </si>
  <si>
    <t xml:space="preserve"> Finance income</t>
  </si>
  <si>
    <t xml:space="preserve"> Finance expense</t>
  </si>
  <si>
    <t xml:space="preserve"> Share of results of joint ventures and associates </t>
  </si>
  <si>
    <t>Profit before tax from continuing operations</t>
  </si>
  <si>
    <t xml:space="preserve"> Income Tax</t>
  </si>
  <si>
    <t>Profit for the year from Continuing Operations</t>
  </si>
  <si>
    <t>Discontinued Operations</t>
  </si>
  <si>
    <t xml:space="preserve"> Profit after tax for the year from discontinued operations</t>
  </si>
  <si>
    <t xml:space="preserve"> Gain on sale of subsidiary </t>
  </si>
  <si>
    <t>Profit for the period</t>
  </si>
  <si>
    <t>Attributable to:</t>
  </si>
  <si>
    <t xml:space="preserve"> Equity holders of the parent </t>
  </si>
  <si>
    <t xml:space="preserve"> Profit for the year from continuing operations</t>
  </si>
  <si>
    <t xml:space="preserve"> Profit for the year  from discontinuing operations</t>
  </si>
  <si>
    <t xml:space="preserve">Non -controlling interest </t>
  </si>
  <si>
    <t xml:space="preserve"> Profit of the year from continuing operations</t>
  </si>
  <si>
    <t xml:space="preserve"> Profit of the year from discontinuing operations</t>
  </si>
  <si>
    <t>Earnings per share attributable to the equity holders of the parent:</t>
  </si>
  <si>
    <t xml:space="preserve"> Basic and diluted earnings per share from continuing operation </t>
  </si>
  <si>
    <t xml:space="preserve"> Basic and diluted earnings per share from discontinuing operation </t>
  </si>
  <si>
    <t xml:space="preserve">Balance sheet </t>
  </si>
  <si>
    <t>Assets</t>
  </si>
  <si>
    <t>Q1'21</t>
  </si>
  <si>
    <t>Q2'21</t>
  </si>
  <si>
    <t>Q3'21</t>
  </si>
  <si>
    <t>Q4'21</t>
  </si>
  <si>
    <t>Q1'22</t>
  </si>
  <si>
    <t>Q2'22</t>
  </si>
  <si>
    <t>Q3'22</t>
  </si>
  <si>
    <t>Q4'22</t>
  </si>
  <si>
    <t>Q1'23</t>
  </si>
  <si>
    <t>Q2'23</t>
  </si>
  <si>
    <t>Q3'23</t>
  </si>
  <si>
    <t>Q4'23</t>
  </si>
  <si>
    <t>Q1'24</t>
  </si>
  <si>
    <t>Q2'24</t>
  </si>
  <si>
    <t>Q3'24</t>
  </si>
  <si>
    <t xml:space="preserve"> Non-current assets </t>
  </si>
  <si>
    <t xml:space="preserve">  Property and equipment </t>
  </si>
  <si>
    <t xml:space="preserve">  Right of use assets </t>
  </si>
  <si>
    <t xml:space="preserve">  Goodwill </t>
  </si>
  <si>
    <t xml:space="preserve">  Other intangible assets </t>
  </si>
  <si>
    <t xml:space="preserve">  Investment in joint ventures and associates </t>
  </si>
  <si>
    <t xml:space="preserve">  Financial assets at fair value through  other comprehensive income </t>
  </si>
  <si>
    <t xml:space="preserve">  Deferred tax assets </t>
  </si>
  <si>
    <t xml:space="preserve">  Other non- current assets </t>
  </si>
  <si>
    <t xml:space="preserve"> Current assets </t>
  </si>
  <si>
    <t xml:space="preserve">  Account receivable , net </t>
  </si>
  <si>
    <t xml:space="preserve">  Other Receivables</t>
  </si>
  <si>
    <t xml:space="preserve">  Other current assets </t>
  </si>
  <si>
    <t xml:space="preserve">  Restricted cash , margins and fixed deposits </t>
  </si>
  <si>
    <t xml:space="preserve">  Cash and cash equivalents </t>
  </si>
  <si>
    <t xml:space="preserve">Asset held for sale </t>
  </si>
  <si>
    <t xml:space="preserve">Total Assets </t>
  </si>
  <si>
    <t xml:space="preserve">Equity and liabilities </t>
  </si>
  <si>
    <t xml:space="preserve"> Share capital </t>
  </si>
  <si>
    <t xml:space="preserve">Own shares </t>
  </si>
  <si>
    <t xml:space="preserve">Own shares reserve </t>
  </si>
  <si>
    <t xml:space="preserve"> Statutory reserve </t>
  </si>
  <si>
    <t xml:space="preserve"> Foreign currency translation reserve </t>
  </si>
  <si>
    <t xml:space="preserve"> Reserve arising from acquisition of non -controlling interest </t>
  </si>
  <si>
    <t xml:space="preserve"> Reserve arising from other comprehensive income items </t>
  </si>
  <si>
    <t xml:space="preserve"> Retained earnings </t>
  </si>
  <si>
    <t xml:space="preserve">Equity attributable to equity holders of the parent </t>
  </si>
  <si>
    <t xml:space="preserve"> Non-controlling interests </t>
  </si>
  <si>
    <t xml:space="preserve">Total Equity </t>
  </si>
  <si>
    <t xml:space="preserve">Liabilities </t>
  </si>
  <si>
    <t xml:space="preserve"> Non- current liabilities </t>
  </si>
  <si>
    <t xml:space="preserve">  Interset - bearing loans and borrowings </t>
  </si>
  <si>
    <t xml:space="preserve">  Lease liabilities </t>
  </si>
  <si>
    <t xml:space="preserve">  Employee's end of service benefits </t>
  </si>
  <si>
    <t xml:space="preserve">  Deferred tax liabitlities </t>
  </si>
  <si>
    <t xml:space="preserve">  Deferred income </t>
  </si>
  <si>
    <t xml:space="preserve">Current liabilities </t>
  </si>
  <si>
    <t xml:space="preserve">  Account payable </t>
  </si>
  <si>
    <t xml:space="preserve">  Bank overdrafts </t>
  </si>
  <si>
    <t xml:space="preserve">  Interest bearing loans and borrowings </t>
  </si>
  <si>
    <t xml:space="preserve">  Income Tax provsion </t>
  </si>
  <si>
    <t xml:space="preserve">  Other current liabilities </t>
  </si>
  <si>
    <t xml:space="preserve">Laibilities for sale </t>
  </si>
  <si>
    <t xml:space="preserve">Total liabilities </t>
  </si>
  <si>
    <t xml:space="preserve">Total Equity and liabilities </t>
  </si>
  <si>
    <t>OPERATING ACTIVITIES</t>
  </si>
  <si>
    <t>Profit before  tax from continuing operations</t>
  </si>
  <si>
    <t>Profit before  tax from discontinuing operations</t>
  </si>
  <si>
    <t>Profit before tax</t>
  </si>
  <si>
    <t>Adjustment for:</t>
  </si>
  <si>
    <t>Depreciation of property and equipment</t>
  </si>
  <si>
    <t>Depreciation of right of use assets</t>
  </si>
  <si>
    <t>Amortization of other intangible assets</t>
  </si>
  <si>
    <t xml:space="preserve"> Provision for employees’ end of service benefits</t>
  </si>
  <si>
    <t xml:space="preserve"> Net impairment loss on financial assets</t>
  </si>
  <si>
    <t xml:space="preserve"> Finance costs, net</t>
  </si>
  <si>
    <t xml:space="preserve"> Finance costs – lease liability</t>
  </si>
  <si>
    <t xml:space="preserve"> Share of results of joint ventures and associates</t>
  </si>
  <si>
    <t xml:space="preserve"> Impairment of goodwill</t>
  </si>
  <si>
    <t xml:space="preserve"> (Gain)/loss on sale of property and equipment</t>
  </si>
  <si>
    <t xml:space="preserve"> Gain on sale of a subsidiary</t>
  </si>
  <si>
    <t xml:space="preserve"> Gain on reversal of provision for property and customer goods</t>
  </si>
  <si>
    <t>Gain on disposal of right of use assets and lease liabilities</t>
  </si>
  <si>
    <t>Working capital adjustments:</t>
  </si>
  <si>
    <t xml:space="preserve"> Accounts receivable</t>
  </si>
  <si>
    <t xml:space="preserve"> Accounts payable</t>
  </si>
  <si>
    <t xml:space="preserve"> Other current assets</t>
  </si>
  <si>
    <t xml:space="preserve"> Other current liabilities</t>
  </si>
  <si>
    <t xml:space="preserve">Other Non current Liabilities </t>
  </si>
  <si>
    <t xml:space="preserve"> Deferred income</t>
  </si>
  <si>
    <t>Net cash flows generated from operating activities before employees’ end of service benefits and income tax paid</t>
  </si>
  <si>
    <t>Employees’ end of service benefits paid</t>
  </si>
  <si>
    <t>Income tax paid</t>
  </si>
  <si>
    <t>Net cash flows generated from operating activities</t>
  </si>
  <si>
    <t>INVESTING ACTIVITIES</t>
  </si>
  <si>
    <t>Purchase of property and equipment</t>
  </si>
  <si>
    <t>Proceeds from disposal of property and equipment</t>
  </si>
  <si>
    <t xml:space="preserve">Financial assets at fair value through other comprehensive income </t>
  </si>
  <si>
    <t>Interest received</t>
  </si>
  <si>
    <t xml:space="preserve">Net cash disposed from discontinued operations </t>
  </si>
  <si>
    <t>Proceeds from sale of a subsidiary</t>
  </si>
  <si>
    <t xml:space="preserve">Purchase of intangible assets </t>
  </si>
  <si>
    <t>Payment for Acquisition of Subsidery, Net of cash aquired</t>
  </si>
  <si>
    <t>Dividends from joint ventures</t>
  </si>
  <si>
    <t>Acquisition of a group of assets</t>
  </si>
  <si>
    <t>Other non-current assets</t>
  </si>
  <si>
    <t>Restricted cash*</t>
  </si>
  <si>
    <t xml:space="preserve">Non controlling Interest </t>
  </si>
  <si>
    <t xml:space="preserve">Margin deposits and fixed deposits </t>
  </si>
  <si>
    <t>Loan granted to joint venture</t>
  </si>
  <si>
    <t>Net cash flows generated from/(used in) investing activities</t>
  </si>
  <si>
    <t>FINANCING ACTIVITIES</t>
  </si>
  <si>
    <t>Finance cost paid</t>
  </si>
  <si>
    <t>Proceeds from loans and borrowings</t>
  </si>
  <si>
    <t>Repayment of loans and borrowings</t>
  </si>
  <si>
    <t>Liquidity provider Deposit</t>
  </si>
  <si>
    <t>Principal elements of lease payments</t>
  </si>
  <si>
    <t>Dividends paid to non-controlling interests</t>
  </si>
  <si>
    <t>Directors’ fees paid</t>
  </si>
  <si>
    <t>Dividends paid to shareholders</t>
  </si>
  <si>
    <t xml:space="preserve">Acquistion of non-controlling interests </t>
  </si>
  <si>
    <t>Net cash flows used in financing activities</t>
  </si>
  <si>
    <t>NET (DECREASE)/INCREASE IN CASH AND CASH EQUIVALENTS</t>
  </si>
  <si>
    <t>Net foreign exchange difference</t>
  </si>
  <si>
    <t>Cash and cash equivalents at 1 January</t>
  </si>
  <si>
    <t>CASH AND CASH EQUIVALENTS AT 31 DECEMBER</t>
  </si>
  <si>
    <t>Mar YTD '21</t>
  </si>
  <si>
    <t>Jun YTD'21</t>
  </si>
  <si>
    <t>Sep YTD'21</t>
  </si>
  <si>
    <t>Dec YTD'21</t>
  </si>
  <si>
    <t>Mar YTD'22</t>
  </si>
  <si>
    <t>Jun YTD'22</t>
  </si>
  <si>
    <t>SepYTD'22</t>
  </si>
  <si>
    <t>DecYTD'22</t>
  </si>
  <si>
    <t>Jun YTD'23</t>
  </si>
  <si>
    <t>SepYTD'23</t>
  </si>
  <si>
    <t>DecYTD'23</t>
  </si>
  <si>
    <t>Jun YTD'24</t>
  </si>
  <si>
    <t>Sep YTD'24</t>
  </si>
  <si>
    <t>Revenue</t>
  </si>
  <si>
    <t>Capex</t>
  </si>
  <si>
    <t>Capex / Revenue</t>
  </si>
  <si>
    <t xml:space="preserve">Total Direct Cost </t>
  </si>
  <si>
    <t xml:space="preserve">Gross Profit </t>
  </si>
  <si>
    <t>GP%</t>
  </si>
  <si>
    <t>Selling and G&amp;A expenses</t>
  </si>
  <si>
    <t>EBIT</t>
  </si>
  <si>
    <t>EBIT%</t>
  </si>
  <si>
    <t>EBITDA</t>
  </si>
  <si>
    <t>EBITDA%</t>
  </si>
  <si>
    <t>Volumes</t>
  </si>
  <si>
    <t>DOM Express</t>
  </si>
  <si>
    <t>Int'l Express</t>
  </si>
  <si>
    <t>Total Courier Volumes</t>
  </si>
  <si>
    <t>Per shipment</t>
  </si>
  <si>
    <t>Average revenue per shipment Courier</t>
  </si>
  <si>
    <t>Average cost per shipment Courier</t>
  </si>
  <si>
    <t>Total Int'l ExpressVolumes</t>
  </si>
  <si>
    <t>Average revenue per shipment Express+Parcel Forwarding</t>
  </si>
  <si>
    <t>Average cost per shipment Express+Parcel Forwarding</t>
  </si>
  <si>
    <t>Average GP per shipment Express+Parcel Forwarding</t>
  </si>
  <si>
    <t>Average revenue per shipment</t>
  </si>
  <si>
    <t>Average cost per shipment</t>
  </si>
  <si>
    <t>Average GP per shipment</t>
  </si>
  <si>
    <t>L/F # of FTL</t>
  </si>
  <si>
    <t>L/F # of LTL Kgs</t>
  </si>
  <si>
    <t>S/F # of FCL TEU</t>
  </si>
  <si>
    <t>S/F # of LCL CBM</t>
  </si>
  <si>
    <t>A/F # of Kgs</t>
  </si>
  <si>
    <t>All figures are in '(000)</t>
  </si>
  <si>
    <t>Actual</t>
  </si>
  <si>
    <t>VAR</t>
  </si>
  <si>
    <t>Express + Parcel Forwarding</t>
  </si>
  <si>
    <t>Domestic</t>
  </si>
  <si>
    <t xml:space="preserve">Freight Forwarding  </t>
  </si>
  <si>
    <t>Logistics</t>
  </si>
  <si>
    <t xml:space="preserve">Other </t>
  </si>
  <si>
    <t>Total Revenue</t>
  </si>
  <si>
    <t>Volumes are in abosulte figures- not rounded</t>
  </si>
  <si>
    <t>Gulf</t>
  </si>
  <si>
    <t>NA</t>
  </si>
  <si>
    <t>Others</t>
  </si>
  <si>
    <t>Total</t>
  </si>
  <si>
    <t xml:space="preserve">Total  Volumes </t>
  </si>
  <si>
    <t>Domestic Volumes</t>
  </si>
  <si>
    <t>Express Volumes</t>
  </si>
  <si>
    <t xml:space="preserve">Revenue </t>
  </si>
  <si>
    <t>Holding compaines</t>
  </si>
  <si>
    <t>Q1 2020</t>
  </si>
  <si>
    <t xml:space="preserve">Courier </t>
  </si>
  <si>
    <t>Express+SNS</t>
  </si>
  <si>
    <t xml:space="preserve">Freight </t>
  </si>
  <si>
    <t xml:space="preserve">Logistics </t>
  </si>
  <si>
    <t xml:space="preserve">Other Services </t>
  </si>
  <si>
    <t>Revenues</t>
  </si>
  <si>
    <t xml:space="preserve">EBIT </t>
  </si>
  <si>
    <t>Q2 2020</t>
  </si>
  <si>
    <t>Q3 2020</t>
  </si>
  <si>
    <t>Q4 2020</t>
  </si>
  <si>
    <t>Express+Parcel Forwarding</t>
  </si>
  <si>
    <t>1st Qrt'18</t>
  </si>
  <si>
    <t>2nd Qrt'18</t>
  </si>
  <si>
    <t>3rd Qrt'18</t>
  </si>
  <si>
    <t>4th Qrt'18</t>
  </si>
  <si>
    <t>Full year 2018</t>
  </si>
  <si>
    <t>Shipment Volumes (In Millions)</t>
  </si>
  <si>
    <t>Total Revenue International &amp; Domestic Express Revenue</t>
  </si>
  <si>
    <t>Total International &amp; Domestic Express Volume</t>
  </si>
  <si>
    <t>International Express+ SnS</t>
  </si>
  <si>
    <t>International Express</t>
  </si>
  <si>
    <t>Domestic Revenue</t>
  </si>
  <si>
    <t>Domestic Express</t>
  </si>
  <si>
    <t>1st Qrt'19</t>
  </si>
  <si>
    <t>2nd Qrt'19</t>
  </si>
  <si>
    <t>3rd Qrt'19</t>
  </si>
  <si>
    <t>4th Qrt'19</t>
  </si>
  <si>
    <t>Full year 2019</t>
  </si>
  <si>
    <t>1st Qrt'20</t>
  </si>
  <si>
    <t>2nd Qrt'20</t>
  </si>
  <si>
    <t>3rd Qrt'20</t>
  </si>
  <si>
    <t>4th Qrt'20</t>
  </si>
  <si>
    <t>Full year 2020</t>
  </si>
  <si>
    <t>1st Qrt'21</t>
  </si>
  <si>
    <t>2nd Qrt'21</t>
  </si>
  <si>
    <t>3rd Qrt'21</t>
  </si>
  <si>
    <t>4th Qrt'21</t>
  </si>
  <si>
    <t>Full year 2021</t>
  </si>
  <si>
    <t>1st Qrt'22</t>
  </si>
  <si>
    <t>2nd Qrt'22</t>
  </si>
  <si>
    <t>3rd Qrt'22</t>
  </si>
  <si>
    <t>4th Qrt'22</t>
  </si>
  <si>
    <t>Full year 2022</t>
  </si>
  <si>
    <t>4th Qrt'2</t>
  </si>
  <si>
    <t>1st Qrt'23</t>
  </si>
  <si>
    <t>2nd Qrt'23</t>
  </si>
  <si>
    <t>3rd Qrt'23</t>
  </si>
  <si>
    <t>4th Qrt'23</t>
  </si>
  <si>
    <t>Full year 2023</t>
  </si>
  <si>
    <t>1st Qrt'24</t>
  </si>
  <si>
    <t>2nd Qrt'24</t>
  </si>
  <si>
    <t>3rd Qrt'24</t>
  </si>
  <si>
    <t>4th Qrt'24</t>
  </si>
  <si>
    <t>Full year 2024</t>
  </si>
  <si>
    <t>International Express+ Parcel Forwarding</t>
  </si>
  <si>
    <t>Key Figures and Ratios</t>
  </si>
  <si>
    <t>Gross Profit Margin %</t>
  </si>
  <si>
    <t>EBIT %</t>
  </si>
  <si>
    <t>Net Profit Margin %</t>
  </si>
  <si>
    <t xml:space="preserve">EPS (AED)from continuing operation </t>
  </si>
  <si>
    <t>Dividends</t>
  </si>
  <si>
    <t xml:space="preserve">Dividends % of capital </t>
  </si>
  <si>
    <t>N/A</t>
  </si>
  <si>
    <t xml:space="preserve">Dividends payout ratio </t>
  </si>
  <si>
    <t>Dividend per share (AED)</t>
  </si>
  <si>
    <t>Q4 2024</t>
  </si>
  <si>
    <t>2024</t>
  </si>
  <si>
    <t>Q4'24</t>
  </si>
  <si>
    <t>Dec YTD'24</t>
  </si>
  <si>
    <t>Increase/(reduction) in Capital</t>
  </si>
  <si>
    <t>Q1 2025</t>
  </si>
  <si>
    <t xml:space="preserve"> IR Data Book 2025</t>
  </si>
  <si>
    <t>2025 Vs 2024</t>
  </si>
  <si>
    <t>Q1'25</t>
  </si>
  <si>
    <t>1st Qrt'25</t>
  </si>
  <si>
    <t>2nd Qrt'25</t>
  </si>
  <si>
    <t>3rd Qrt'25</t>
  </si>
  <si>
    <t>4th Qrt'25</t>
  </si>
  <si>
    <t>Full year 2025</t>
  </si>
  <si>
    <t>Non Operating expense (Apollo expenses)</t>
  </si>
  <si>
    <t>MENAT, IND, SSA</t>
  </si>
  <si>
    <t>Europe &amp; USA</t>
  </si>
  <si>
    <t>Asia Pacific</t>
  </si>
  <si>
    <t>Aramex Historic Express Revenues and Volumes 2018 - 2025</t>
  </si>
  <si>
    <t>Q2 2025</t>
  </si>
  <si>
    <t>Q2'25</t>
  </si>
  <si>
    <t>Jun YTD'25</t>
  </si>
  <si>
    <t>Lubna Shebli</t>
  </si>
  <si>
    <t>Acting Chief Financial Officer</t>
  </si>
  <si>
    <t>Aramex Historic Revenues by Product Segment 2020 - 2025</t>
  </si>
  <si>
    <t>Q3 2025</t>
  </si>
  <si>
    <t>Q3'25</t>
  </si>
  <si>
    <t>Sep YTD'25</t>
  </si>
  <si>
    <t>Phantom Shares Adj</t>
  </si>
  <si>
    <t xml:space="preserve">Payment of Phantom Shares </t>
  </si>
  <si>
    <t>Total DOM ExpressVolumes</t>
  </si>
  <si>
    <t>Q4 2025</t>
  </si>
  <si>
    <t>Q4 25 vs Q4 24</t>
  </si>
  <si>
    <t>FY '25 vs FY '24</t>
  </si>
  <si>
    <t>Q4'25</t>
  </si>
  <si>
    <t>2025</t>
  </si>
  <si>
    <t>Dec YTD'25</t>
  </si>
  <si>
    <t>Deferred revenue realized</t>
  </si>
  <si>
    <t>Q4'25 vs Q4'24</t>
  </si>
  <si>
    <t>Q4'2024</t>
  </si>
  <si>
    <t>Q4'2025</t>
  </si>
  <si>
    <t>AED</t>
  </si>
  <si>
    <t>FY '25</t>
  </si>
  <si>
    <t xml:space="preserve">FY '24 </t>
  </si>
  <si>
    <t>FY '25  vs FY '24</t>
  </si>
  <si>
    <t>FY '2024</t>
  </si>
  <si>
    <t>FY '2025</t>
  </si>
  <si>
    <t>FY 2025 and FY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</si>
</sst>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%;[Red]\(0%\)"/>
    <numFmt numFmtId="167" formatCode="0.0%_);[Red]\(0.0%\)"/>
    <numFmt numFmtId="168" formatCode="#,##0;\(#,##0\)"/>
    <numFmt numFmtId="169" formatCode="0%_);[Red]\(0%\)"/>
    <numFmt numFmtId="170" formatCode="0.0%"/>
    <numFmt numFmtId="171" formatCode="0.000"/>
    <numFmt numFmtId="172" formatCode="#,##0.0_);[Red]\(#,##0.0\)"/>
    <numFmt numFmtId="173" formatCode="#,##0.000_);[Red]\(#,##0.000\)"/>
    <numFmt numFmtId="174" formatCode="0.00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u/>
      <sz val="10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1F497D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0000"/>
        <bgColor rgb="FF000000"/>
      </patternFill>
    </fill>
    <fill>
      <patternFill patternType="solid">
        <fgColor rgb="FFE60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0F0F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43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/>
    <xf numFmtId="0" fontId="5" fillId="0" borderId="0"/>
    <xf numFmtId="0" fontId="8" fillId="0" borderId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8">
    <xf numFmtId="0" fontId="0" fillId="0" borderId="0" xfId="0"/>
    <xf numFmtId="0" fontId="9" fillId="0" borderId="0" xfId="6" applyFont="1"/>
    <xf numFmtId="9" fontId="9" fillId="0" borderId="0" xfId="2" applyFont="1"/>
    <xf numFmtId="0" fontId="10" fillId="0" borderId="0" xfId="6" applyFont="1"/>
    <xf numFmtId="164" fontId="9" fillId="0" borderId="0" xfId="6" applyNumberFormat="1" applyFont="1"/>
    <xf numFmtId="164" fontId="12" fillId="2" borderId="3" xfId="7" applyNumberFormat="1" applyFont="1" applyFill="1" applyBorder="1" applyAlignment="1">
      <alignment horizontal="left" vertical="center"/>
    </xf>
    <xf numFmtId="164" fontId="12" fillId="2" borderId="4" xfId="7" applyNumberFormat="1" applyFont="1" applyFill="1" applyBorder="1" applyAlignment="1">
      <alignment horizontal="left" vertical="center"/>
    </xf>
    <xf numFmtId="164" fontId="12" fillId="2" borderId="5" xfId="7" applyNumberFormat="1" applyFont="1" applyFill="1" applyBorder="1" applyAlignment="1">
      <alignment horizontal="left" vertical="center"/>
    </xf>
    <xf numFmtId="164" fontId="12" fillId="3" borderId="3" xfId="7" applyNumberFormat="1" applyFont="1" applyFill="1" applyBorder="1" applyAlignment="1">
      <alignment horizontal="left" vertical="center"/>
    </xf>
    <xf numFmtId="164" fontId="12" fillId="3" borderId="4" xfId="7" applyNumberFormat="1" applyFont="1" applyFill="1" applyBorder="1" applyAlignment="1">
      <alignment horizontal="left" vertical="center"/>
    </xf>
    <xf numFmtId="164" fontId="12" fillId="3" borderId="6" xfId="7" applyNumberFormat="1" applyFont="1" applyFill="1" applyBorder="1" applyAlignment="1">
      <alignment horizontal="left" vertical="center"/>
    </xf>
    <xf numFmtId="164" fontId="12" fillId="2" borderId="6" xfId="7" applyNumberFormat="1" applyFont="1" applyFill="1" applyBorder="1" applyAlignment="1">
      <alignment horizontal="left" vertical="center"/>
    </xf>
    <xf numFmtId="0" fontId="9" fillId="0" borderId="0" xfId="6" applyFont="1" applyAlignment="1">
      <alignment horizontal="center"/>
    </xf>
    <xf numFmtId="0" fontId="14" fillId="4" borderId="0" xfId="0" applyFont="1" applyFill="1"/>
    <xf numFmtId="0" fontId="13" fillId="4" borderId="0" xfId="0" applyFont="1" applyFill="1"/>
    <xf numFmtId="0" fontId="12" fillId="2" borderId="3" xfId="6" applyFont="1" applyFill="1" applyBorder="1" applyAlignment="1">
      <alignment horizontal="left" vertical="center" wrapText="1"/>
    </xf>
    <xf numFmtId="0" fontId="9" fillId="0" borderId="0" xfId="6" applyFont="1" applyAlignment="1">
      <alignment horizontal="left"/>
    </xf>
    <xf numFmtId="0" fontId="12" fillId="3" borderId="3" xfId="6" applyFont="1" applyFill="1" applyBorder="1" applyAlignment="1">
      <alignment horizontal="left" vertical="center" wrapText="1" indent="2"/>
    </xf>
    <xf numFmtId="0" fontId="12" fillId="2" borderId="3" xfId="6" applyFont="1" applyFill="1" applyBorder="1" applyAlignment="1">
      <alignment horizontal="left" vertical="center" wrapText="1" indent="2"/>
    </xf>
    <xf numFmtId="0" fontId="15" fillId="0" borderId="0" xfId="8" applyAlignment="1">
      <alignment horizontal="left" indent="1"/>
    </xf>
    <xf numFmtId="0" fontId="9" fillId="0" borderId="0" xfId="0" applyFont="1"/>
    <xf numFmtId="0" fontId="13" fillId="0" borderId="0" xfId="0" applyFont="1"/>
    <xf numFmtId="0" fontId="9" fillId="0" borderId="0" xfId="9" applyFont="1"/>
    <xf numFmtId="0" fontId="10" fillId="0" borderId="0" xfId="9" applyFont="1"/>
    <xf numFmtId="0" fontId="9" fillId="0" borderId="0" xfId="9" quotePrefix="1" applyFont="1" applyAlignment="1">
      <alignment horizontal="left"/>
    </xf>
    <xf numFmtId="0" fontId="10" fillId="0" borderId="0" xfId="9" quotePrefix="1" applyFont="1" applyAlignment="1">
      <alignment horizontal="left"/>
    </xf>
    <xf numFmtId="0" fontId="9" fillId="0" borderId="0" xfId="9" applyFont="1" applyAlignment="1">
      <alignment horizontal="left"/>
    </xf>
    <xf numFmtId="0" fontId="18" fillId="0" borderId="0" xfId="9" applyFont="1"/>
    <xf numFmtId="38" fontId="9" fillId="0" borderId="0" xfId="0" applyNumberFormat="1" applyFont="1"/>
    <xf numFmtId="38" fontId="10" fillId="0" borderId="12" xfId="9" applyNumberFormat="1" applyFont="1" applyBorder="1"/>
    <xf numFmtId="38" fontId="13" fillId="0" borderId="24" xfId="0" applyNumberFormat="1" applyFont="1" applyBorder="1"/>
    <xf numFmtId="171" fontId="9" fillId="0" borderId="0" xfId="0" applyNumberFormat="1" applyFont="1"/>
    <xf numFmtId="169" fontId="9" fillId="0" borderId="0" xfId="2" applyNumberFormat="1" applyFont="1"/>
    <xf numFmtId="169" fontId="9" fillId="0" borderId="0" xfId="0" applyNumberFormat="1" applyFont="1"/>
    <xf numFmtId="38" fontId="10" fillId="0" borderId="0" xfId="9" applyNumberFormat="1" applyFont="1"/>
    <xf numFmtId="38" fontId="9" fillId="0" borderId="11" xfId="0" applyNumberFormat="1" applyFont="1" applyBorder="1"/>
    <xf numFmtId="169" fontId="9" fillId="0" borderId="11" xfId="2" applyNumberFormat="1" applyFont="1" applyBorder="1"/>
    <xf numFmtId="38" fontId="10" fillId="0" borderId="0" xfId="0" applyNumberFormat="1" applyFont="1"/>
    <xf numFmtId="169" fontId="10" fillId="0" borderId="0" xfId="2" applyNumberFormat="1" applyFont="1"/>
    <xf numFmtId="38" fontId="10" fillId="0" borderId="24" xfId="0" applyNumberFormat="1" applyFont="1" applyBorder="1"/>
    <xf numFmtId="169" fontId="10" fillId="0" borderId="24" xfId="2" applyNumberFormat="1" applyFont="1" applyBorder="1"/>
    <xf numFmtId="38" fontId="13" fillId="0" borderId="25" xfId="0" applyNumberFormat="1" applyFont="1" applyBorder="1"/>
    <xf numFmtId="38" fontId="13" fillId="0" borderId="26" xfId="0" applyNumberFormat="1" applyFont="1" applyBorder="1"/>
    <xf numFmtId="38" fontId="13" fillId="0" borderId="12" xfId="0" applyNumberFormat="1" applyFont="1" applyBorder="1"/>
    <xf numFmtId="40" fontId="9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justify" vertical="center" wrapText="1"/>
    </xf>
    <xf numFmtId="38" fontId="13" fillId="0" borderId="24" xfId="0" applyNumberFormat="1" applyFont="1" applyBorder="1" applyAlignment="1">
      <alignment horizontal="center" vertical="center"/>
    </xf>
    <xf numFmtId="38" fontId="13" fillId="0" borderId="24" xfId="0" applyNumberFormat="1" applyFont="1" applyBorder="1" applyAlignment="1">
      <alignment horizontal="center"/>
    </xf>
    <xf numFmtId="38" fontId="9" fillId="0" borderId="0" xfId="0" applyNumberFormat="1" applyFont="1" applyAlignment="1">
      <alignment horizontal="center"/>
    </xf>
    <xf numFmtId="0" fontId="22" fillId="0" borderId="0" xfId="0" applyFont="1"/>
    <xf numFmtId="0" fontId="9" fillId="0" borderId="8" xfId="0" applyFont="1" applyBorder="1"/>
    <xf numFmtId="0" fontId="9" fillId="0" borderId="9" xfId="0" applyFont="1" applyBorder="1"/>
    <xf numFmtId="0" fontId="9" fillId="0" borderId="27" xfId="0" applyFont="1" applyBorder="1"/>
    <xf numFmtId="38" fontId="9" fillId="0" borderId="0" xfId="0" applyNumberFormat="1" applyFont="1" applyAlignment="1">
      <alignment vertical="center"/>
    </xf>
    <xf numFmtId="38" fontId="9" fillId="0" borderId="0" xfId="1" applyNumberFormat="1" applyFont="1" applyAlignment="1">
      <alignment horizontal="center" vertical="center"/>
    </xf>
    <xf numFmtId="38" fontId="13" fillId="0" borderId="12" xfId="0" applyNumberFormat="1" applyFont="1" applyBorder="1" applyAlignment="1">
      <alignment horizontal="center" vertical="center"/>
    </xf>
    <xf numFmtId="38" fontId="9" fillId="0" borderId="0" xfId="0" applyNumberFormat="1" applyFont="1" applyAlignment="1">
      <alignment horizontal="center" vertical="center"/>
    </xf>
    <xf numFmtId="38" fontId="9" fillId="0" borderId="11" xfId="0" applyNumberFormat="1" applyFont="1" applyBorder="1" applyAlignment="1">
      <alignment horizontal="center" vertical="center"/>
    </xf>
    <xf numFmtId="38" fontId="9" fillId="0" borderId="12" xfId="0" applyNumberFormat="1" applyFont="1" applyBorder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3" fillId="0" borderId="0" xfId="0" applyFont="1"/>
    <xf numFmtId="0" fontId="10" fillId="0" borderId="0" xfId="0" applyFont="1"/>
    <xf numFmtId="0" fontId="16" fillId="5" borderId="0" xfId="0" applyFont="1" applyFill="1" applyAlignment="1">
      <alignment horizontal="left"/>
    </xf>
    <xf numFmtId="49" fontId="11" fillId="5" borderId="0" xfId="0" applyNumberFormat="1" applyFont="1" applyFill="1"/>
    <xf numFmtId="0" fontId="17" fillId="6" borderId="13" xfId="0" applyFont="1" applyFill="1" applyBorder="1" applyAlignment="1">
      <alignment horizontal="left"/>
    </xf>
    <xf numFmtId="0" fontId="11" fillId="5" borderId="0" xfId="0" applyFont="1" applyFill="1" applyAlignment="1">
      <alignment horizontal="left"/>
    </xf>
    <xf numFmtId="0" fontId="24" fillId="7" borderId="0" xfId="0" applyFont="1" applyFill="1" applyAlignment="1">
      <alignment horizontal="left"/>
    </xf>
    <xf numFmtId="49" fontId="25" fillId="7" borderId="0" xfId="0" applyNumberFormat="1" applyFont="1" applyFill="1" applyAlignment="1">
      <alignment horizontal="center"/>
    </xf>
    <xf numFmtId="49" fontId="26" fillId="0" borderId="0" xfId="0" applyNumberFormat="1" applyFont="1" applyAlignment="1">
      <alignment horizontal="left" indent="2"/>
    </xf>
    <xf numFmtId="0" fontId="27" fillId="0" borderId="0" xfId="0" applyFont="1"/>
    <xf numFmtId="0" fontId="27" fillId="8" borderId="0" xfId="0" applyFont="1" applyFill="1"/>
    <xf numFmtId="38" fontId="9" fillId="0" borderId="0" xfId="1" applyNumberFormat="1" applyFont="1" applyFill="1" applyBorder="1" applyAlignment="1">
      <alignment horizontal="right"/>
    </xf>
    <xf numFmtId="166" fontId="9" fillId="0" borderId="0" xfId="4" applyNumberFormat="1" applyFont="1" applyFill="1" applyBorder="1" applyAlignment="1">
      <alignment horizontal="right"/>
    </xf>
    <xf numFmtId="164" fontId="9" fillId="0" borderId="0" xfId="1" applyNumberFormat="1" applyFont="1" applyFill="1"/>
    <xf numFmtId="164" fontId="9" fillId="0" borderId="0" xfId="1" applyNumberFormat="1" applyFont="1" applyFill="1" applyBorder="1"/>
    <xf numFmtId="164" fontId="9" fillId="0" borderId="0" xfId="1" applyNumberFormat="1" applyFont="1" applyFill="1" applyBorder="1" applyAlignment="1">
      <alignment horizontal="center"/>
    </xf>
    <xf numFmtId="38" fontId="9" fillId="0" borderId="0" xfId="3" applyNumberFormat="1" applyFont="1" applyBorder="1"/>
    <xf numFmtId="38" fontId="10" fillId="0" borderId="0" xfId="3" applyNumberFormat="1" applyFont="1" applyBorder="1"/>
    <xf numFmtId="165" fontId="9" fillId="0" borderId="0" xfId="1" applyNumberFormat="1" applyFont="1"/>
    <xf numFmtId="164" fontId="9" fillId="0" borderId="0" xfId="1" applyNumberFormat="1" applyFont="1"/>
    <xf numFmtId="0" fontId="10" fillId="0" borderId="26" xfId="0" applyFont="1" applyBorder="1"/>
    <xf numFmtId="164" fontId="10" fillId="0" borderId="26" xfId="0" applyNumberFormat="1" applyFont="1" applyBorder="1"/>
    <xf numFmtId="165" fontId="9" fillId="0" borderId="0" xfId="0" applyNumberFormat="1" applyFont="1"/>
    <xf numFmtId="0" fontId="11" fillId="12" borderId="1" xfId="6" applyFont="1" applyFill="1" applyBorder="1" applyAlignment="1">
      <alignment horizontal="left" vertical="center" wrapText="1"/>
    </xf>
    <xf numFmtId="0" fontId="11" fillId="12" borderId="1" xfId="6" applyFont="1" applyFill="1" applyBorder="1" applyAlignment="1">
      <alignment horizontal="center" vertical="center" wrapText="1"/>
    </xf>
    <xf numFmtId="0" fontId="11" fillId="12" borderId="2" xfId="6" applyFont="1" applyFill="1" applyBorder="1" applyAlignment="1">
      <alignment horizontal="center" vertical="center" wrapText="1"/>
    </xf>
    <xf numFmtId="0" fontId="11" fillId="12" borderId="14" xfId="6" applyFont="1" applyFill="1" applyBorder="1" applyAlignment="1">
      <alignment horizontal="left" vertical="center"/>
    </xf>
    <xf numFmtId="0" fontId="11" fillId="12" borderId="15" xfId="6" applyFont="1" applyFill="1" applyBorder="1" applyAlignment="1">
      <alignment horizontal="center" vertical="center" wrapText="1"/>
    </xf>
    <xf numFmtId="0" fontId="11" fillId="12" borderId="16" xfId="6" applyFont="1" applyFill="1" applyBorder="1" applyAlignment="1">
      <alignment horizontal="center" vertical="center" wrapText="1"/>
    </xf>
    <xf numFmtId="0" fontId="12" fillId="10" borderId="17" xfId="6" applyFont="1" applyFill="1" applyBorder="1" applyAlignment="1">
      <alignment horizontal="left" vertical="center"/>
    </xf>
    <xf numFmtId="164" fontId="12" fillId="10" borderId="3" xfId="7" applyNumberFormat="1" applyFont="1" applyFill="1" applyBorder="1" applyAlignment="1">
      <alignment horizontal="left" vertical="center"/>
    </xf>
    <xf numFmtId="164" fontId="12" fillId="10" borderId="4" xfId="7" applyNumberFormat="1" applyFont="1" applyFill="1" applyBorder="1" applyAlignment="1">
      <alignment horizontal="left" vertical="center"/>
    </xf>
    <xf numFmtId="164" fontId="12" fillId="10" borderId="5" xfId="7" applyNumberFormat="1" applyFont="1" applyFill="1" applyBorder="1" applyAlignment="1">
      <alignment horizontal="left" vertical="center"/>
    </xf>
    <xf numFmtId="0" fontId="12" fillId="11" borderId="17" xfId="6" applyFont="1" applyFill="1" applyBorder="1" applyAlignment="1">
      <alignment horizontal="left" vertical="center" indent="2"/>
    </xf>
    <xf numFmtId="164" fontId="12" fillId="11" borderId="3" xfId="7" applyNumberFormat="1" applyFont="1" applyFill="1" applyBorder="1" applyAlignment="1">
      <alignment horizontal="left" vertical="center"/>
    </xf>
    <xf numFmtId="164" fontId="12" fillId="11" borderId="4" xfId="7" applyNumberFormat="1" applyFont="1" applyFill="1" applyBorder="1" applyAlignment="1">
      <alignment horizontal="left" vertical="center"/>
    </xf>
    <xf numFmtId="164" fontId="12" fillId="11" borderId="6" xfId="7" applyNumberFormat="1" applyFont="1" applyFill="1" applyBorder="1" applyAlignment="1">
      <alignment horizontal="left" vertical="center"/>
    </xf>
    <xf numFmtId="0" fontId="12" fillId="10" borderId="18" xfId="6" applyFont="1" applyFill="1" applyBorder="1" applyAlignment="1">
      <alignment horizontal="left" vertical="center" indent="2"/>
    </xf>
    <xf numFmtId="164" fontId="12" fillId="10" borderId="19" xfId="7" applyNumberFormat="1" applyFont="1" applyFill="1" applyBorder="1" applyAlignment="1">
      <alignment horizontal="left" vertical="center"/>
    </xf>
    <xf numFmtId="164" fontId="12" fillId="10" borderId="20" xfId="7" applyNumberFormat="1" applyFont="1" applyFill="1" applyBorder="1" applyAlignment="1">
      <alignment horizontal="left" vertical="center"/>
    </xf>
    <xf numFmtId="164" fontId="12" fillId="10" borderId="7" xfId="7" applyNumberFormat="1" applyFont="1" applyFill="1" applyBorder="1" applyAlignment="1">
      <alignment horizontal="left" vertical="center"/>
    </xf>
    <xf numFmtId="0" fontId="11" fillId="12" borderId="21" xfId="6" applyFont="1" applyFill="1" applyBorder="1" applyAlignment="1">
      <alignment horizontal="center" vertical="center" wrapText="1"/>
    </xf>
    <xf numFmtId="164" fontId="12" fillId="10" borderId="3" xfId="7" applyNumberFormat="1" applyFont="1" applyFill="1" applyBorder="1" applyAlignment="1">
      <alignment horizontal="center" vertical="center" wrapText="1"/>
    </xf>
    <xf numFmtId="164" fontId="12" fillId="10" borderId="22" xfId="7" applyNumberFormat="1" applyFont="1" applyFill="1" applyBorder="1" applyAlignment="1">
      <alignment horizontal="center" vertical="center" wrapText="1"/>
    </xf>
    <xf numFmtId="164" fontId="12" fillId="11" borderId="3" xfId="7" applyNumberFormat="1" applyFont="1" applyFill="1" applyBorder="1" applyAlignment="1">
      <alignment horizontal="center" vertical="center" wrapText="1"/>
    </xf>
    <xf numFmtId="164" fontId="12" fillId="11" borderId="22" xfId="7" applyNumberFormat="1" applyFont="1" applyFill="1" applyBorder="1" applyAlignment="1">
      <alignment horizontal="center" vertical="center" wrapText="1"/>
    </xf>
    <xf numFmtId="164" fontId="12" fillId="10" borderId="19" xfId="7" applyNumberFormat="1" applyFont="1" applyFill="1" applyBorder="1" applyAlignment="1">
      <alignment horizontal="center" vertical="center" wrapText="1"/>
    </xf>
    <xf numFmtId="164" fontId="12" fillId="10" borderId="23" xfId="7" applyNumberFormat="1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9" fillId="12" borderId="0" xfId="0" applyFont="1" applyFill="1"/>
    <xf numFmtId="38" fontId="9" fillId="0" borderId="8" xfId="1" applyNumberFormat="1" applyFont="1" applyBorder="1"/>
    <xf numFmtId="38" fontId="9" fillId="0" borderId="9" xfId="1" applyNumberFormat="1" applyFont="1" applyBorder="1"/>
    <xf numFmtId="0" fontId="9" fillId="0" borderId="10" xfId="0" applyFont="1" applyBorder="1"/>
    <xf numFmtId="38" fontId="9" fillId="0" borderId="0" xfId="1" applyNumberFormat="1" applyFont="1" applyBorder="1"/>
    <xf numFmtId="0" fontId="16" fillId="13" borderId="0" xfId="0" applyFont="1" applyFill="1" applyAlignment="1">
      <alignment horizontal="left"/>
    </xf>
    <xf numFmtId="49" fontId="11" fillId="13" borderId="0" xfId="0" applyNumberFormat="1" applyFont="1" applyFill="1"/>
    <xf numFmtId="0" fontId="17" fillId="14" borderId="11" xfId="0" applyFont="1" applyFill="1" applyBorder="1" applyAlignment="1">
      <alignment horizontal="left"/>
    </xf>
    <xf numFmtId="49" fontId="11" fillId="13" borderId="11" xfId="0" applyNumberFormat="1" applyFont="1" applyFill="1" applyBorder="1" applyAlignment="1">
      <alignment horizontal="center"/>
    </xf>
    <xf numFmtId="49" fontId="11" fillId="13" borderId="11" xfId="0" applyNumberFormat="1" applyFont="1" applyFill="1" applyBorder="1" applyAlignment="1">
      <alignment horizontal="center" wrapText="1"/>
    </xf>
    <xf numFmtId="0" fontId="11" fillId="13" borderId="11" xfId="0" applyFont="1" applyFill="1" applyBorder="1" applyAlignment="1">
      <alignment horizontal="left"/>
    </xf>
    <xf numFmtId="0" fontId="28" fillId="0" borderId="0" xfId="0" applyFont="1"/>
    <xf numFmtId="0" fontId="31" fillId="12" borderId="0" xfId="0" applyFont="1" applyFill="1" applyAlignment="1">
      <alignment horizontal="center"/>
    </xf>
    <xf numFmtId="43" fontId="9" fillId="0" borderId="0" xfId="0" applyNumberFormat="1" applyFont="1"/>
    <xf numFmtId="0" fontId="17" fillId="6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9" fillId="15" borderId="0" xfId="0" applyFont="1" applyFill="1"/>
    <xf numFmtId="166" fontId="9" fillId="0" borderId="0" xfId="0" applyNumberFormat="1" applyFont="1"/>
    <xf numFmtId="9" fontId="9" fillId="0" borderId="0" xfId="2" applyFont="1" applyBorder="1" applyAlignment="1">
      <alignment horizontal="center"/>
    </xf>
    <xf numFmtId="166" fontId="9" fillId="0" borderId="0" xfId="4" applyNumberFormat="1" applyFont="1" applyBorder="1" applyAlignment="1">
      <alignment horizontal="right"/>
    </xf>
    <xf numFmtId="38" fontId="9" fillId="0" borderId="0" xfId="1" applyNumberFormat="1" applyFont="1" applyBorder="1" applyAlignment="1">
      <alignment horizontal="right"/>
    </xf>
    <xf numFmtId="38" fontId="10" fillId="0" borderId="0" xfId="1" applyNumberFormat="1" applyFont="1" applyBorder="1" applyAlignment="1">
      <alignment horizontal="right"/>
    </xf>
    <xf numFmtId="166" fontId="10" fillId="0" borderId="0" xfId="4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center"/>
    </xf>
    <xf numFmtId="167" fontId="9" fillId="0" borderId="0" xfId="3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11" xfId="0" applyFont="1" applyBorder="1"/>
    <xf numFmtId="164" fontId="9" fillId="0" borderId="0" xfId="0" applyNumberFormat="1" applyFont="1"/>
    <xf numFmtId="164" fontId="22" fillId="0" borderId="0" xfId="0" applyNumberFormat="1" applyFont="1"/>
    <xf numFmtId="164" fontId="22" fillId="0" borderId="0" xfId="1" applyNumberFormat="1" applyFont="1"/>
    <xf numFmtId="0" fontId="17" fillId="6" borderId="0" xfId="0" applyFont="1" applyFill="1" applyAlignment="1">
      <alignment horizontal="center"/>
    </xf>
    <xf numFmtId="0" fontId="9" fillId="0" borderId="28" xfId="0" applyFont="1" applyBorder="1"/>
    <xf numFmtId="164" fontId="9" fillId="0" borderId="28" xfId="1" applyNumberFormat="1" applyFont="1" applyBorder="1"/>
    <xf numFmtId="0" fontId="9" fillId="0" borderId="29" xfId="0" applyFont="1" applyBorder="1"/>
    <xf numFmtId="170" fontId="9" fillId="0" borderId="28" xfId="0" applyNumberFormat="1" applyFont="1" applyBorder="1"/>
    <xf numFmtId="0" fontId="22" fillId="0" borderId="28" xfId="0" applyFont="1" applyBorder="1"/>
    <xf numFmtId="38" fontId="9" fillId="0" borderId="27" xfId="1" applyNumberFormat="1" applyFont="1" applyBorder="1"/>
    <xf numFmtId="169" fontId="9" fillId="0" borderId="27" xfId="2" applyNumberFormat="1" applyFont="1" applyBorder="1"/>
    <xf numFmtId="169" fontId="9" fillId="0" borderId="9" xfId="2" applyNumberFormat="1" applyFont="1" applyBorder="1"/>
    <xf numFmtId="169" fontId="9" fillId="0" borderId="10" xfId="2" applyNumberFormat="1" applyFont="1" applyBorder="1"/>
    <xf numFmtId="0" fontId="32" fillId="0" borderId="0" xfId="0" applyFont="1" applyAlignment="1">
      <alignment vertical="center"/>
    </xf>
    <xf numFmtId="0" fontId="19" fillId="0" borderId="0" xfId="6" applyFont="1"/>
    <xf numFmtId="0" fontId="19" fillId="0" borderId="0" xfId="0" applyFont="1"/>
    <xf numFmtId="0" fontId="9" fillId="4" borderId="0" xfId="0" applyFont="1" applyFill="1"/>
    <xf numFmtId="0" fontId="10" fillId="15" borderId="0" xfId="0" applyFont="1" applyFill="1"/>
    <xf numFmtId="0" fontId="10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33" fillId="0" borderId="0" xfId="8" applyFont="1" applyAlignment="1">
      <alignment horizontal="left" indent="1"/>
    </xf>
    <xf numFmtId="0" fontId="19" fillId="12" borderId="0" xfId="0" applyFont="1" applyFill="1" applyAlignment="1">
      <alignment horizontal="center" vertical="center"/>
    </xf>
    <xf numFmtId="9" fontId="9" fillId="0" borderId="0" xfId="2" applyFont="1" applyBorder="1" applyAlignment="1">
      <alignment horizontal="center" vertical="center"/>
    </xf>
    <xf numFmtId="38" fontId="17" fillId="6" borderId="0" xfId="0" applyNumberFormat="1" applyFont="1" applyFill="1" applyAlignment="1">
      <alignment horizontal="center"/>
    </xf>
    <xf numFmtId="38" fontId="9" fillId="0" borderId="0" xfId="4" applyNumberFormat="1" applyFont="1" applyBorder="1" applyAlignment="1">
      <alignment horizontal="right"/>
    </xf>
    <xf numFmtId="38" fontId="9" fillId="0" borderId="0" xfId="3" applyNumberFormat="1" applyFont="1" applyBorder="1" applyAlignment="1">
      <alignment horizontal="center"/>
    </xf>
    <xf numFmtId="38" fontId="9" fillId="0" borderId="0" xfId="1" applyNumberFormat="1" applyFont="1"/>
    <xf numFmtId="38" fontId="22" fillId="0" borderId="0" xfId="0" applyNumberFormat="1" applyFont="1"/>
    <xf numFmtId="49" fontId="11" fillId="5" borderId="0" xfId="0" applyNumberFormat="1" applyFont="1" applyFill="1" applyAlignment="1">
      <alignment horizontal="center" wrapText="1"/>
    </xf>
    <xf numFmtId="0" fontId="11" fillId="14" borderId="11" xfId="0" applyFont="1" applyFill="1" applyBorder="1" applyAlignment="1">
      <alignment horizontal="left"/>
    </xf>
    <xf numFmtId="0" fontId="11" fillId="14" borderId="11" xfId="0" applyFont="1" applyFill="1" applyBorder="1" applyAlignment="1">
      <alignment horizontal="right"/>
    </xf>
    <xf numFmtId="0" fontId="10" fillId="17" borderId="0" xfId="0" applyFont="1" applyFill="1"/>
    <xf numFmtId="0" fontId="9" fillId="17" borderId="0" xfId="0" applyFont="1" applyFill="1"/>
    <xf numFmtId="49" fontId="34" fillId="16" borderId="0" xfId="0" applyNumberFormat="1" applyFont="1" applyFill="1" applyAlignment="1">
      <alignment horizontal="left"/>
    </xf>
    <xf numFmtId="49" fontId="27" fillId="0" borderId="0" xfId="0" applyNumberFormat="1" applyFont="1" applyAlignment="1">
      <alignment horizontal="left"/>
    </xf>
    <xf numFmtId="49" fontId="34" fillId="7" borderId="0" xfId="0" applyNumberFormat="1" applyFont="1" applyFill="1" applyAlignment="1">
      <alignment horizontal="left"/>
    </xf>
    <xf numFmtId="49" fontId="35" fillId="0" borderId="0" xfId="0" applyNumberFormat="1" applyFont="1" applyAlignment="1">
      <alignment horizontal="left" indent="2"/>
    </xf>
    <xf numFmtId="168" fontId="20" fillId="16" borderId="0" xfId="0" applyNumberFormat="1" applyFont="1" applyFill="1" applyAlignment="1">
      <alignment horizontal="right"/>
    </xf>
    <xf numFmtId="38" fontId="20" fillId="16" borderId="0" xfId="0" applyNumberFormat="1" applyFont="1" applyFill="1" applyAlignment="1">
      <alignment horizontal="right"/>
    </xf>
    <xf numFmtId="169" fontId="20" fillId="16" borderId="0" xfId="2" applyNumberFormat="1" applyFont="1" applyFill="1" applyBorder="1" applyAlignment="1">
      <alignment horizontal="right"/>
    </xf>
    <xf numFmtId="168" fontId="20" fillId="0" borderId="0" xfId="0" applyNumberFormat="1" applyFont="1" applyAlignment="1">
      <alignment horizontal="right"/>
    </xf>
    <xf numFmtId="38" fontId="20" fillId="0" borderId="0" xfId="0" applyNumberFormat="1" applyFont="1" applyAlignment="1">
      <alignment horizontal="right"/>
    </xf>
    <xf numFmtId="169" fontId="20" fillId="7" borderId="0" xfId="2" applyNumberFormat="1" applyFont="1" applyFill="1" applyBorder="1" applyAlignment="1">
      <alignment horizontal="right"/>
    </xf>
    <xf numFmtId="169" fontId="22" fillId="0" borderId="0" xfId="2" applyNumberFormat="1" applyFont="1" applyFill="1" applyBorder="1"/>
    <xf numFmtId="168" fontId="20" fillId="7" borderId="0" xfId="0" applyNumberFormat="1" applyFont="1" applyFill="1" applyAlignment="1">
      <alignment horizontal="right"/>
    </xf>
    <xf numFmtId="38" fontId="20" fillId="7" borderId="0" xfId="0" applyNumberFormat="1" applyFont="1" applyFill="1" applyAlignment="1">
      <alignment horizontal="right"/>
    </xf>
    <xf numFmtId="38" fontId="20" fillId="9" borderId="0" xfId="0" applyNumberFormat="1" applyFont="1" applyFill="1" applyAlignment="1">
      <alignment horizontal="right"/>
    </xf>
    <xf numFmtId="169" fontId="20" fillId="9" borderId="0" xfId="2" applyNumberFormat="1" applyFont="1" applyFill="1" applyBorder="1" applyAlignment="1">
      <alignment horizontal="right"/>
    </xf>
    <xf numFmtId="49" fontId="36" fillId="16" borderId="0" xfId="0" applyNumberFormat="1" applyFont="1" applyFill="1" applyAlignment="1">
      <alignment horizontal="left"/>
    </xf>
    <xf numFmtId="49" fontId="20" fillId="0" borderId="0" xfId="0" applyNumberFormat="1" applyFont="1" applyAlignment="1">
      <alignment horizontal="left"/>
    </xf>
    <xf numFmtId="38" fontId="20" fillId="17" borderId="0" xfId="0" applyNumberFormat="1" applyFont="1" applyFill="1" applyAlignment="1">
      <alignment horizontal="right"/>
    </xf>
    <xf numFmtId="49" fontId="36" fillId="7" borderId="0" xfId="0" applyNumberFormat="1" applyFont="1" applyFill="1" applyAlignment="1">
      <alignment horizontal="left"/>
    </xf>
    <xf numFmtId="0" fontId="20" fillId="0" borderId="0" xfId="0" applyFont="1"/>
    <xf numFmtId="0" fontId="20" fillId="8" borderId="0" xfId="0" applyFont="1" applyFill="1"/>
    <xf numFmtId="0" fontId="12" fillId="0" borderId="0" xfId="0" applyFont="1"/>
    <xf numFmtId="0" fontId="11" fillId="5" borderId="0" xfId="0" applyFont="1" applyFill="1" applyAlignment="1">
      <alignment horizontal="center"/>
    </xf>
    <xf numFmtId="2" fontId="9" fillId="0" borderId="0" xfId="0" applyNumberFormat="1" applyFont="1"/>
    <xf numFmtId="38" fontId="9" fillId="0" borderId="0" xfId="1" applyNumberFormat="1" applyFont="1" applyFill="1" applyAlignment="1">
      <alignment horizontal="center" vertical="center"/>
    </xf>
    <xf numFmtId="38" fontId="9" fillId="0" borderId="9" xfId="0" applyNumberFormat="1" applyFont="1" applyBorder="1" applyAlignment="1">
      <alignment vertical="center"/>
    </xf>
    <xf numFmtId="170" fontId="9" fillId="0" borderId="9" xfId="2" applyNumberFormat="1" applyFont="1" applyFill="1" applyBorder="1" applyAlignment="1">
      <alignment vertical="center"/>
    </xf>
    <xf numFmtId="38" fontId="9" fillId="0" borderId="8" xfId="0" applyNumberFormat="1" applyFont="1" applyBorder="1" applyAlignment="1">
      <alignment vertical="center"/>
    </xf>
    <xf numFmtId="164" fontId="9" fillId="0" borderId="0" xfId="1" applyNumberFormat="1" applyFont="1" applyBorder="1"/>
    <xf numFmtId="43" fontId="9" fillId="0" borderId="0" xfId="1" applyFont="1"/>
    <xf numFmtId="1" fontId="9" fillId="0" borderId="0" xfId="0" applyNumberFormat="1" applyFont="1"/>
    <xf numFmtId="172" fontId="9" fillId="0" borderId="0" xfId="0" applyNumberFormat="1" applyFont="1"/>
    <xf numFmtId="0" fontId="31" fillId="12" borderId="0" xfId="0" applyFont="1" applyFill="1" applyAlignment="1">
      <alignment horizontal="center" vertical="center"/>
    </xf>
    <xf numFmtId="170" fontId="9" fillId="0" borderId="0" xfId="2" applyNumberFormat="1" applyFont="1" applyFill="1"/>
    <xf numFmtId="0" fontId="37" fillId="0" borderId="0" xfId="0" applyFont="1"/>
    <xf numFmtId="164" fontId="17" fillId="6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38" fontId="10" fillId="0" borderId="0" xfId="0" applyNumberFormat="1" applyFont="1" applyAlignment="1">
      <alignment horizontal="center"/>
    </xf>
    <xf numFmtId="0" fontId="10" fillId="0" borderId="26" xfId="0" applyFont="1" applyBorder="1" applyAlignment="1">
      <alignment horizontal="center"/>
    </xf>
    <xf numFmtId="38" fontId="10" fillId="0" borderId="26" xfId="0" applyNumberFormat="1" applyFont="1" applyBorder="1" applyAlignment="1">
      <alignment horizontal="center"/>
    </xf>
    <xf numFmtId="9" fontId="9" fillId="0" borderId="28" xfId="2" applyFont="1" applyBorder="1"/>
    <xf numFmtId="167" fontId="10" fillId="0" borderId="24" xfId="2" applyNumberFormat="1" applyFont="1" applyBorder="1"/>
    <xf numFmtId="170" fontId="9" fillId="0" borderId="0" xfId="2" applyNumberFormat="1" applyFont="1"/>
    <xf numFmtId="0" fontId="12" fillId="0" borderId="8" xfId="0" applyFont="1" applyBorder="1" applyAlignment="1">
      <alignment vertical="center"/>
    </xf>
    <xf numFmtId="164" fontId="9" fillId="0" borderId="8" xfId="1" applyNumberFormat="1" applyFont="1" applyBorder="1"/>
    <xf numFmtId="164" fontId="12" fillId="0" borderId="8" xfId="1" applyNumberFormat="1" applyFont="1" applyBorder="1" applyAlignment="1">
      <alignment horizontal="right" vertical="center"/>
    </xf>
    <xf numFmtId="164" fontId="9" fillId="0" borderId="8" xfId="1" applyNumberFormat="1" applyFont="1" applyBorder="1" applyAlignment="1">
      <alignment horizontal="right" vertical="center"/>
    </xf>
    <xf numFmtId="0" fontId="12" fillId="0" borderId="9" xfId="0" applyFont="1" applyBorder="1" applyAlignment="1">
      <alignment vertical="center"/>
    </xf>
    <xf numFmtId="164" fontId="9" fillId="0" borderId="9" xfId="1" applyNumberFormat="1" applyFont="1" applyBorder="1"/>
    <xf numFmtId="164" fontId="12" fillId="0" borderId="9" xfId="1" applyNumberFormat="1" applyFont="1" applyBorder="1" applyAlignment="1">
      <alignment horizontal="right" vertical="center"/>
    </xf>
    <xf numFmtId="164" fontId="9" fillId="0" borderId="9" xfId="1" applyNumberFormat="1" applyFont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164" fontId="12" fillId="0" borderId="10" xfId="1" applyNumberFormat="1" applyFont="1" applyBorder="1" applyAlignment="1">
      <alignment horizontal="right" vertical="center"/>
    </xf>
    <xf numFmtId="164" fontId="9" fillId="0" borderId="10" xfId="1" applyNumberFormat="1" applyFont="1" applyBorder="1" applyAlignment="1">
      <alignment horizontal="right" vertical="center"/>
    </xf>
    <xf numFmtId="164" fontId="9" fillId="0" borderId="8" xfId="1" applyNumberFormat="1" applyFont="1" applyFill="1" applyBorder="1" applyAlignment="1">
      <alignment horizontal="right" vertical="center"/>
    </xf>
    <xf numFmtId="164" fontId="9" fillId="0" borderId="9" xfId="1" applyNumberFormat="1" applyFont="1" applyFill="1" applyBorder="1" applyAlignment="1">
      <alignment horizontal="right" vertical="center"/>
    </xf>
    <xf numFmtId="164" fontId="9" fillId="0" borderId="10" xfId="1" applyNumberFormat="1" applyFont="1" applyFill="1" applyBorder="1" applyAlignment="1">
      <alignment horizontal="right" vertical="center"/>
    </xf>
    <xf numFmtId="169" fontId="20" fillId="0" borderId="0" xfId="2" applyNumberFormat="1" applyFont="1" applyFill="1" applyBorder="1" applyAlignment="1">
      <alignment horizontal="right"/>
    </xf>
    <xf numFmtId="168" fontId="9" fillId="0" borderId="0" xfId="0" applyNumberFormat="1" applyFont="1"/>
    <xf numFmtId="9" fontId="9" fillId="0" borderId="0" xfId="2" applyFont="1" applyFill="1"/>
    <xf numFmtId="3" fontId="9" fillId="0" borderId="0" xfId="0" applyNumberFormat="1" applyFont="1"/>
    <xf numFmtId="43" fontId="9" fillId="0" borderId="0" xfId="6" applyNumberFormat="1" applyFont="1"/>
    <xf numFmtId="40" fontId="9" fillId="0" borderId="0" xfId="3" applyNumberFormat="1" applyFont="1" applyBorder="1"/>
    <xf numFmtId="164" fontId="9" fillId="0" borderId="30" xfId="1" applyNumberFormat="1" applyFont="1" applyFill="1" applyBorder="1" applyAlignment="1">
      <alignment horizontal="right" vertical="center"/>
    </xf>
    <xf numFmtId="38" fontId="9" fillId="0" borderId="11" xfId="1" applyNumberFormat="1" applyFont="1" applyBorder="1" applyAlignment="1">
      <alignment horizontal="right"/>
    </xf>
    <xf numFmtId="166" fontId="9" fillId="0" borderId="11" xfId="4" applyNumberFormat="1" applyFont="1" applyBorder="1" applyAlignment="1">
      <alignment horizontal="right"/>
    </xf>
    <xf numFmtId="164" fontId="12" fillId="0" borderId="23" xfId="7" applyNumberFormat="1" applyFont="1" applyFill="1" applyBorder="1" applyAlignment="1">
      <alignment horizontal="center" vertical="center" wrapText="1"/>
    </xf>
    <xf numFmtId="164" fontId="9" fillId="0" borderId="11" xfId="0" applyNumberFormat="1" applyFont="1" applyBorder="1"/>
    <xf numFmtId="164" fontId="9" fillId="0" borderId="0" xfId="3" applyNumberFormat="1" applyFont="1" applyFill="1" applyBorder="1"/>
    <xf numFmtId="164" fontId="9" fillId="0" borderId="0" xfId="3" applyNumberFormat="1" applyFont="1" applyFill="1" applyBorder="1" applyAlignment="1">
      <alignment horizontal="center"/>
    </xf>
    <xf numFmtId="38" fontId="9" fillId="0" borderId="0" xfId="3" applyNumberFormat="1" applyFont="1" applyFill="1" applyBorder="1"/>
    <xf numFmtId="38" fontId="9" fillId="0" borderId="0" xfId="3" applyNumberFormat="1" applyFont="1" applyFill="1" applyBorder="1" applyAlignment="1">
      <alignment horizontal="center"/>
    </xf>
    <xf numFmtId="164" fontId="40" fillId="0" borderId="0" xfId="1" applyNumberFormat="1" applyFont="1" applyFill="1"/>
    <xf numFmtId="164" fontId="0" fillId="0" borderId="0" xfId="1" applyNumberFormat="1" applyFont="1"/>
    <xf numFmtId="164" fontId="38" fillId="0" borderId="0" xfId="1" applyNumberFormat="1" applyFont="1" applyAlignment="1">
      <alignment horizontal="right"/>
    </xf>
    <xf numFmtId="164" fontId="39" fillId="0" borderId="0" xfId="1" applyNumberFormat="1" applyFont="1" applyAlignment="1">
      <alignment horizontal="right"/>
    </xf>
    <xf numFmtId="164" fontId="9" fillId="17" borderId="0" xfId="1" applyNumberFormat="1" applyFont="1" applyFill="1"/>
    <xf numFmtId="9" fontId="9" fillId="0" borderId="0" xfId="2" applyFont="1" applyAlignment="1">
      <alignment horizontal="center"/>
    </xf>
    <xf numFmtId="38" fontId="9" fillId="0" borderId="8" xfId="1" applyNumberFormat="1" applyFont="1" applyFill="1" applyBorder="1"/>
    <xf numFmtId="38" fontId="9" fillId="0" borderId="9" xfId="1" applyNumberFormat="1" applyFont="1" applyFill="1" applyBorder="1"/>
    <xf numFmtId="169" fontId="9" fillId="0" borderId="27" xfId="2" applyNumberFormat="1" applyFont="1" applyFill="1" applyBorder="1"/>
    <xf numFmtId="38" fontId="9" fillId="0" borderId="27" xfId="1" applyNumberFormat="1" applyFont="1" applyFill="1" applyBorder="1"/>
    <xf numFmtId="169" fontId="9" fillId="0" borderId="10" xfId="2" applyNumberFormat="1" applyFont="1" applyFill="1" applyBorder="1"/>
    <xf numFmtId="4" fontId="9" fillId="0" borderId="0" xfId="0" applyNumberFormat="1" applyFont="1"/>
    <xf numFmtId="0" fontId="11" fillId="5" borderId="0" xfId="0" applyFont="1" applyFill="1" applyAlignment="1">
      <alignment horizontal="left" wrapText="1"/>
    </xf>
    <xf numFmtId="169" fontId="9" fillId="0" borderId="0" xfId="2" applyNumberFormat="1" applyFont="1" applyAlignment="1">
      <alignment horizontal="right"/>
    </xf>
    <xf numFmtId="0" fontId="10" fillId="0" borderId="0" xfId="0" quotePrefix="1" applyFont="1"/>
    <xf numFmtId="0" fontId="9" fillId="0" borderId="0" xfId="0" quotePrefix="1" applyFont="1" applyAlignment="1">
      <alignment horizontal="center"/>
    </xf>
    <xf numFmtId="173" fontId="9" fillId="0" borderId="0" xfId="9" applyNumberFormat="1" applyFont="1"/>
    <xf numFmtId="174" fontId="9" fillId="0" borderId="0" xfId="0" applyNumberFormat="1" applyFont="1"/>
    <xf numFmtId="167" fontId="20" fillId="16" borderId="0" xfId="2" applyNumberFormat="1" applyFont="1" applyFill="1" applyBorder="1" applyAlignment="1">
      <alignment horizontal="right"/>
    </xf>
    <xf numFmtId="167" fontId="20" fillId="0" borderId="0" xfId="2" applyNumberFormat="1" applyFont="1" applyFill="1" applyBorder="1" applyAlignment="1">
      <alignment horizontal="right"/>
    </xf>
    <xf numFmtId="167" fontId="20" fillId="7" borderId="0" xfId="2" applyNumberFormat="1" applyFont="1" applyFill="1" applyBorder="1" applyAlignment="1">
      <alignment horizontal="right"/>
    </xf>
    <xf numFmtId="0" fontId="41" fillId="0" borderId="0" xfId="0" applyFont="1"/>
    <xf numFmtId="0" fontId="21" fillId="0" borderId="0" xfId="0" applyFont="1" applyAlignment="1">
      <alignment wrapText="1"/>
    </xf>
    <xf numFmtId="0" fontId="42" fillId="0" borderId="0" xfId="0" applyFont="1" applyAlignment="1">
      <alignment horizontal="justify" vertical="center" wrapText="1"/>
    </xf>
    <xf numFmtId="0" fontId="21" fillId="0" borderId="0" xfId="0" quotePrefix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43" fillId="0" borderId="0" xfId="0" applyFont="1"/>
    <xf numFmtId="38" fontId="9" fillId="0" borderId="0" xfId="0" applyNumberFormat="1" applyFont="1" applyAlignment="1">
      <alignment horizontal="right"/>
    </xf>
    <xf numFmtId="49" fontId="11" fillId="13" borderId="0" xfId="0" applyNumberFormat="1" applyFont="1" applyFill="1" applyAlignment="1">
      <alignment horizontal="center" wrapText="1"/>
    </xf>
    <xf numFmtId="49" fontId="11" fillId="5" borderId="0" xfId="0" applyNumberFormat="1" applyFont="1" applyFill="1" applyAlignment="1">
      <alignment horizontal="center" wrapText="1"/>
    </xf>
    <xf numFmtId="0" fontId="31" fillId="12" borderId="0" xfId="0" applyFont="1" applyFill="1" applyAlignment="1">
      <alignment horizontal="center"/>
    </xf>
  </cellXfs>
  <cellStyles count="30">
    <cellStyle name="Comma" xfId="1" builtinId="3"/>
    <cellStyle name="Comma 12" xfId="12" xr:uid="{6B8E2544-AD03-4EF3-9780-02BD56FADD21}"/>
    <cellStyle name="Comma 2" xfId="3" xr:uid="{1A70046C-AB87-4D44-A261-1FF3B6996944}"/>
    <cellStyle name="Comma 3" xfId="7" xr:uid="{8959B3B2-B5CF-40B7-84EF-28F88E083B11}"/>
    <cellStyle name="Comma 3 2" xfId="13" xr:uid="{7F668E7A-1848-4CFB-9198-9B353AE83A8A}"/>
    <cellStyle name="Comma 3 2 2" xfId="23" xr:uid="{44D03162-576D-4278-AD67-F7F9802EBD1F}"/>
    <cellStyle name="Comma 3 3" xfId="15" xr:uid="{073AFA0E-1FF9-4154-BD4C-1491862C35D0}"/>
    <cellStyle name="Comma 3 3 2" xfId="24" xr:uid="{E9D0ADAA-6C1E-4478-B571-AFC9E9E3C6D8}"/>
    <cellStyle name="Comma 3 4" xfId="21" xr:uid="{5F2EE43E-E44C-4AAF-ACEB-3B88CEBB9C22}"/>
    <cellStyle name="Comma 4" xfId="18" xr:uid="{5AC73F3D-880C-4288-8490-19ABC9BA724D}"/>
    <cellStyle name="Comma 4 2" xfId="27" xr:uid="{370D6F42-212B-4E67-8966-315BA12857B9}"/>
    <cellStyle name="Comma 5" xfId="20" xr:uid="{E61F5CCD-7BB3-49A8-A752-F0509DCF1E90}"/>
    <cellStyle name="Comma 6" xfId="29" xr:uid="{2C2413BD-5790-4FC5-95C9-F73D8D851D96}"/>
    <cellStyle name="Hyperlink" xfId="8" builtinId="8"/>
    <cellStyle name="Normal" xfId="0" builtinId="0"/>
    <cellStyle name="Normal 2" xfId="6" xr:uid="{0A9740B7-A6D6-4EB3-B423-74DACB1DFF43}"/>
    <cellStyle name="Normal 2 2" xfId="9" xr:uid="{BA65F987-AB52-4DA7-B8F9-2AE3626222EE}"/>
    <cellStyle name="Normal 3" xfId="10" xr:uid="{F59DDD8A-6658-425E-B1B5-54D1F9DB1230}"/>
    <cellStyle name="Normal 3 2" xfId="11" xr:uid="{A949EDC7-FBE5-4178-A4EC-317F58DF8F07}"/>
    <cellStyle name="Normal 3 2 2" xfId="14" xr:uid="{C760FEAF-4B9F-4090-908A-A074E8DAD05A}"/>
    <cellStyle name="Normal 3 3" xfId="16" xr:uid="{4B656F10-6BC3-4E5B-BE0D-6B3F3D90EA56}"/>
    <cellStyle name="Normal 3 3 2" xfId="25" xr:uid="{F5CDB29B-5F65-4954-95FA-F8D5AD609FD4}"/>
    <cellStyle name="Normal 3 4" xfId="22" xr:uid="{BA16C0E8-4541-4A51-B1A0-AD4F640B3770}"/>
    <cellStyle name="Normal 4" xfId="17" xr:uid="{809EE0BF-1352-425A-BE1D-CB60406D1939}"/>
    <cellStyle name="Normal 4 2" xfId="26" xr:uid="{470335CE-EC50-4A73-9B7E-1674AAADBAE8}"/>
    <cellStyle name="Percent" xfId="2" builtinId="5"/>
    <cellStyle name="Percent 2" xfId="4" xr:uid="{72395AA4-C6FE-4865-BEEC-51EAD7C4A456}"/>
    <cellStyle name="Percent 2 2" xfId="5" xr:uid="{50EAF2F7-38FB-4044-971F-6DC498595600}"/>
    <cellStyle name="Percent 3" xfId="19" xr:uid="{C41E499B-1491-4ED9-A0E1-80CE2BCC11CE}"/>
    <cellStyle name="Percent 3 2" xfId="28" xr:uid="{5F509E2E-3934-4D94-8BC9-80568AC05F77}"/>
  </cellStyles>
  <dxfs count="0"/>
  <tableStyles count="1" defaultTableStyle="TableStyleMedium2" defaultPivotStyle="PivotStyleLight16">
    <tableStyle name="Invisible" pivot="0" table="0" count="0" xr9:uid="{658E5965-B96E-46E2-87FC-A24706571CF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6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59" Type="http://schemas.openxmlformats.org/officeDocument/2006/relationships/customXml" Target="../customXml/item3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3</xdr:row>
      <xdr:rowOff>19051</xdr:rowOff>
    </xdr:from>
    <xdr:to>
      <xdr:col>12</xdr:col>
      <xdr:colOff>104775</xdr:colOff>
      <xdr:row>7</xdr:row>
      <xdr:rowOff>140913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93AFFE-ADDD-2084-3550-CD74FEADF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14750" y="504826"/>
          <a:ext cx="4800600" cy="769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95250</xdr:rowOff>
    </xdr:from>
    <xdr:to>
      <xdr:col>2</xdr:col>
      <xdr:colOff>460748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4B036F-0660-4579-905F-1C6AAC1845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5006" t="22984" r="3479" b="51531"/>
        <a:stretch/>
      </xdr:blipFill>
      <xdr:spPr>
        <a:xfrm>
          <a:off x="733425" y="95250"/>
          <a:ext cx="946523" cy="314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76201</xdr:rowOff>
    </xdr:from>
    <xdr:to>
      <xdr:col>1</xdr:col>
      <xdr:colOff>1238250</xdr:colOff>
      <xdr:row>2</xdr:row>
      <xdr:rowOff>131024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56ED20-782C-4079-146D-6C1DDA619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6" y="76201"/>
          <a:ext cx="1181099" cy="378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76201</xdr:rowOff>
    </xdr:from>
    <xdr:to>
      <xdr:col>1</xdr:col>
      <xdr:colOff>1238250</xdr:colOff>
      <xdr:row>2</xdr:row>
      <xdr:rowOff>131024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94C409-DEA9-4677-B187-CB26AB5F4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1" y="76201"/>
          <a:ext cx="1181099" cy="3786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76201</xdr:rowOff>
    </xdr:from>
    <xdr:to>
      <xdr:col>1</xdr:col>
      <xdr:colOff>1238250</xdr:colOff>
      <xdr:row>2</xdr:row>
      <xdr:rowOff>131024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F372B2-985B-41FB-801B-A8E272CD6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1" y="76201"/>
          <a:ext cx="1181099" cy="3786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104775</xdr:rowOff>
    </xdr:from>
    <xdr:to>
      <xdr:col>1</xdr:col>
      <xdr:colOff>1200150</xdr:colOff>
      <xdr:row>2</xdr:row>
      <xdr:rowOff>114664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C8E3AB-6460-B906-E3EA-87A0D16A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0550" y="104775"/>
          <a:ext cx="1219200" cy="3908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66675</xdr:rowOff>
    </xdr:from>
    <xdr:to>
      <xdr:col>1</xdr:col>
      <xdr:colOff>1266826</xdr:colOff>
      <xdr:row>2</xdr:row>
      <xdr:rowOff>133713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2130BF-0242-0BE0-C33F-7E9869AFE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7226" y="66675"/>
          <a:ext cx="1219200" cy="3908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s/balance_sheet/2012/Aramex%20PJSC/JKT%20BS1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4/Aramex%20PJSC/Manual%20Consolidation/09-BS-3rdQUPAC'24.xlsx" TargetMode="External"/><Relationship Id="rId1" Type="http://schemas.openxmlformats.org/officeDocument/2006/relationships/externalLinkPath" Target="/sites/Finance/docs/balance_sheet/2024/Aramex%20PJSC/Manual%20Consolidation/09-BS-3rdQUPAC'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4/Aramex%20PJSC/Manual%20Consolidation/12-BS-4thQUPAC'24.xlsx" TargetMode="External"/><Relationship Id="rId1" Type="http://schemas.openxmlformats.org/officeDocument/2006/relationships/externalLinkPath" Target="/sites/Finance/docs/balance_sheet/2024/Aramex%20PJSC/Manual%20Consolidation/12-BS-4thQUPAC'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5/Aramex%20PJSC/Manual%20Consolidation/03-BS-1stQUPAC'25.xlsx" TargetMode="External"/><Relationship Id="rId1" Type="http://schemas.openxmlformats.org/officeDocument/2006/relationships/externalLinkPath" Target="/sites/Finance/docs/balance_sheet/2025/Aramex%20PJSC/Manual%20Consolidation/03-BS-1stQUPAC'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5/Aramex%20PJSC/Manual%20Consolidation/06-BS-2ndQUPAC'25.xlsx" TargetMode="External"/><Relationship Id="rId1" Type="http://schemas.openxmlformats.org/officeDocument/2006/relationships/externalLinkPath" Target="/sites/Finance/docs/balance_sheet/2025/Aramex%20PJSC/Manual%20Consolidation/06-BS-2ndQUPAC'25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5/Aramex%20PJSC/Manual%20Consolidation/09-BS-3rdQUPAC'25.xlsx" TargetMode="External"/><Relationship Id="rId1" Type="http://schemas.openxmlformats.org/officeDocument/2006/relationships/externalLinkPath" Target="/sites/Finance/docs/balance_sheet/2025/Aramex%20PJSC/Manual%20Consolidation/09-BS-3rdQUPAC'25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5/Aramex%20PJSC/Manual%20Consolidation/12-BS-4thQUPAC'25.xlsx" TargetMode="External"/><Relationship Id="rId1" Type="http://schemas.openxmlformats.org/officeDocument/2006/relationships/externalLinkPath" Target="/sites/Finance/docs/balance_sheet/2025/Aramex%20PJSC/Manual%20Consolidation/12-BS-4thQUPAC'25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enr\Desktop\CAPEX.xlsx" TargetMode="External"/><Relationship Id="rId1" Type="http://schemas.openxmlformats.org/officeDocument/2006/relationships/externalLinkPath" Target="file:///C:\Users\leenr\Desktop\CAPEX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2/Adaptive%20Consolidation/EBIT%20Per%20Product/12-Dec'22/12-Dec%20YTD%20Consolidation%20-%20updated%20excluding%20UK%20&amp;%20IRE.xlsx" TargetMode="External"/><Relationship Id="rId1" Type="http://schemas.openxmlformats.org/officeDocument/2006/relationships/externalLinkPath" Target="/sites/Finance/docs/income_statements/2022/Adaptive%20Consolidation/EBIT%20Per%20Product/12-Dec'22/12-Dec%20YTD%20Consolidation%20-%20updated%20excluding%20UK%20&amp;%20IRE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3/Adaptive%20Consolidation/EBIT%20Per%20Product/12-Dec'23/12-4thQrt%20Consolidation.xlsx" TargetMode="External"/><Relationship Id="rId1" Type="http://schemas.openxmlformats.org/officeDocument/2006/relationships/externalLinkPath" Target="/sites/Finance/docs/income_statements/2023/Adaptive%20Consolidation/EBIT%20Per%20Product/12-Dec'23/12-4thQrt%20Consolidation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EBIT%20Per%20Product/03-Mar'24/03-1stQrt%20Consolidation.xlsx" TargetMode="External"/><Relationship Id="rId1" Type="http://schemas.openxmlformats.org/officeDocument/2006/relationships/externalLinkPath" Target="/sites/Finance/docs/income_statements/2024/Adaptive%20Consolidation/EBIT%20Per%20Product/03-Mar'24/03-1stQrt%20Consolid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Income%20Statements/2007/Financial%20reports-Dec'07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EBIT%20Per%20Product/06-Jun'24/06-2ndQrt%20Consolidation.xlsx" TargetMode="External"/><Relationship Id="rId1" Type="http://schemas.openxmlformats.org/officeDocument/2006/relationships/externalLinkPath" Target="/sites/Finance/docs/income_statements/2024/Adaptive%20Consolidation/EBIT%20Per%20Product/06-Jun'24/06-2ndQrt%20Consolidation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EBIT%20Per%20Product/09-Sep'24/09-3rdQrt%20Consolidation.xlsx" TargetMode="External"/><Relationship Id="rId1" Type="http://schemas.openxmlformats.org/officeDocument/2006/relationships/externalLinkPath" Target="/sites/Finance/docs/income_statements/2024/Adaptive%20Consolidation/EBIT%20Per%20Product/09-Sep'24/09-3rdQrt%20Consolidation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EBIT%20Per%20Product/12-Dec'24/12-4thQrt%20Consolidation.xlsx" TargetMode="External"/><Relationship Id="rId1" Type="http://schemas.openxmlformats.org/officeDocument/2006/relationships/externalLinkPath" Target="/sites/Finance/docs/income_statements/2024/Adaptive%20Consolidation/EBIT%20Per%20Product/12-Dec'24/12-4thQrt%20Consolidation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EBIT%20Per%20Product/12-Dec'24/12-Dec%20YTD%20Consolidation.xlsx" TargetMode="External"/><Relationship Id="rId1" Type="http://schemas.openxmlformats.org/officeDocument/2006/relationships/externalLinkPath" Target="/sites/Finance/docs/income_statements/2024/Adaptive%20Consolidation/EBIT%20Per%20Product/12-Dec'24/12-Dec%20YTD%20Consolidation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EBIT%20per%20Product/03-Mar'25/03-1stQrt%20Consolidation.xlsx" TargetMode="External"/><Relationship Id="rId1" Type="http://schemas.openxmlformats.org/officeDocument/2006/relationships/externalLinkPath" Target="/sites/Finance/docs/income_statements/2025/Adaptive%20Consolidation/EBIT%20per%20Product/03-Mar'25/03-1stQrt%20Consolidation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EBIT%20per%20Product/06-Jun'25/06-2ndQrt%20Consolidation.xlsx" TargetMode="External"/><Relationship Id="rId1" Type="http://schemas.openxmlformats.org/officeDocument/2006/relationships/externalLinkPath" Target="/sites/Finance/docs/income_statements/2025/Adaptive%20Consolidation/EBIT%20per%20Product/06-Jun'25/06-2ndQrt%20Consolidation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EBIT%20per%20Product/09-Sep'25/09-3rdQrt%20Consolidation.xlsx" TargetMode="External"/><Relationship Id="rId1" Type="http://schemas.openxmlformats.org/officeDocument/2006/relationships/externalLinkPath" Target="/sites/Finance/docs/income_statements/2025/Adaptive%20Consolidation/EBIT%20per%20Product/09-Sep'25/09-3rdQrt%20Consolidation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EBIT%20per%20Product/12-Dec'25/12-4thQrt%20Consolidation.xlsx" TargetMode="External"/><Relationship Id="rId1" Type="http://schemas.openxmlformats.org/officeDocument/2006/relationships/externalLinkPath" Target="/sites/Finance/docs/income_statements/2025/Adaptive%20Consolidation/EBIT%20per%20Product/12-Dec'25/12-4thQrt%20Consolidation.xlsx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EBIT%20per%20Product/12-Dec'25/12-Dec%20YTD%20Consolidation.xlsx" TargetMode="External"/><Relationship Id="rId1" Type="http://schemas.openxmlformats.org/officeDocument/2006/relationships/externalLinkPath" Target="/sites/Finance/docs/income_statements/2025/Adaptive%20Consolidation/EBIT%20per%20Product/12-Dec'25/12-Dec%20YTD%20Consolidation.xlsx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IS%20package%20per%20region/12-Dec'25/12-Dec'25%20Regional%20IS%20package.xlsx" TargetMode="External"/><Relationship Id="rId1" Type="http://schemas.openxmlformats.org/officeDocument/2006/relationships/externalLinkPath" Target="/sites/Finance/docs/income_statements/2025/Adaptive%20Consolidation/IS%20package%20per%20region/12-Dec'25/12-Dec'25%20Regional%20IS%20packag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1/Adaptive%20Consolidation/05-May21%20Package%20AFS.xlsx" TargetMode="External"/><Relationship Id="rId1" Type="http://schemas.openxmlformats.org/officeDocument/2006/relationships/externalLinkPath" Target="/sites/Finance/docs/income_statements/2021/Adaptive%20Consolidation/05-May21%20Package%20AFS.xlsx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3/Adaptive%20Consolidation/12-Dec23%20Package%20AFS.xlsx" TargetMode="External"/><Relationship Id="rId1" Type="http://schemas.openxmlformats.org/officeDocument/2006/relationships/externalLinkPath" Target="/sites/Finance/docs/income_statements/2023/Adaptive%20Consolidation/12-Dec23%20Package%20AFS.xlsx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03-Mar24%20Package%20AFS.xlsx" TargetMode="External"/><Relationship Id="rId1" Type="http://schemas.openxmlformats.org/officeDocument/2006/relationships/externalLinkPath" Target="/sites/Finance/docs/income_statements/2024/Adaptive%20Consolidation/03-Mar24%20Package%20AFS.xlsx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06-Jun24%20Package%20AFS.xlsx" TargetMode="External"/><Relationship Id="rId1" Type="http://schemas.openxmlformats.org/officeDocument/2006/relationships/externalLinkPath" Target="/sites/Finance/docs/income_statements/2024/Adaptive%20Consolidation/06-Jun24%20Package%20AFS.xlsx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09-Sep24%20Package%20AFS.xlsx" TargetMode="External"/><Relationship Id="rId1" Type="http://schemas.openxmlformats.org/officeDocument/2006/relationships/externalLinkPath" Target="/sites/Finance/docs/income_statements/2024/Adaptive%20Consolidation/09-Sep24%20Package%20AFS.xlsx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12-Dec24%20Package%20AFS.xlsx" TargetMode="External"/><Relationship Id="rId1" Type="http://schemas.openxmlformats.org/officeDocument/2006/relationships/externalLinkPath" Target="/sites/Finance/docs/income_statements/2024/Adaptive%20Consolidation/12-Dec24%20Package%20AFS.xlsx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03-Mar25%20Package%20AFS.xlsx" TargetMode="External"/><Relationship Id="rId1" Type="http://schemas.openxmlformats.org/officeDocument/2006/relationships/externalLinkPath" Target="/sites/Finance/docs/income_statements/2025/Adaptive%20Consolidation/03-Mar25%20Package%20AFS.xlsx" TargetMode="External"/></Relationships>
</file>

<file path=xl/externalLinks/_rels/externalLink3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06-Jun25%20Package%20AFS.xlsx" TargetMode="External"/><Relationship Id="rId1" Type="http://schemas.openxmlformats.org/officeDocument/2006/relationships/externalLinkPath" Target="/sites/Finance/docs/income_statements/2025/Adaptive%20Consolidation/06-Jun25%20Package%20AFS.xlsx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09-Sep25%20Package%20AFS.xlsx" TargetMode="External"/><Relationship Id="rId1" Type="http://schemas.openxmlformats.org/officeDocument/2006/relationships/externalLinkPath" Target="/sites/Finance/docs/income_statements/2025/Adaptive%20Consolidation/09-Sep25%20Package%20AFS.xlsx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12-Dec25%20Package%20AFS.xlsx" TargetMode="External"/><Relationship Id="rId1" Type="http://schemas.openxmlformats.org/officeDocument/2006/relationships/externalLinkPath" Target="/sites/Finance/docs/income_statements/2025/Adaptive%20Consolidation/12-Dec25%20Package%20AF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bna\AppData\Local\Microsoft\Windows\INetCache\Content.Outlook\8VJ2XP7H\12-Dec22%20Package%20AFS%20Organi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frnz/Google%20Drive/1%20Iridium%20Shared/4%20TEMPLATES/Aramex/IRIDIUM%20-%20Aramex%20Data%20Pack%202016Q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enr/AppData/Local/Microsoft/Windows/INetCache/Content.Outlook/XKA1CX5M/Aramex%20-%20Iridium%20additional%20first%20cut%20requirements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3/Aramex%20PJSC/Manual%20Consolidation/12-BS-4thQUPAC'23.xlsx" TargetMode="External"/><Relationship Id="rId1" Type="http://schemas.openxmlformats.org/officeDocument/2006/relationships/externalLinkPath" Target="/sites/Finance/docs/balance_sheet/2023/Aramex%20PJSC/Manual%20Consolidation/12-BS-4thQUPAC'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4/Aramex%20PJSC/Manual%20Consolidation/03-BS-1stQUPAC'24.xlsx" TargetMode="External"/><Relationship Id="rId1" Type="http://schemas.openxmlformats.org/officeDocument/2006/relationships/externalLinkPath" Target="/sites/Finance/docs/balance_sheet/2024/Aramex%20PJSC/Manual%20Consolidation/03-BS-1stQUPAC'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4/Aramex%20PJSC/Manual%20Consolidation/06-BS-2ndQUPAC'24.xlsx" TargetMode="External"/><Relationship Id="rId1" Type="http://schemas.openxmlformats.org/officeDocument/2006/relationships/externalLinkPath" Target="/sites/Finance/docs/balance_sheet/2024/Aramex%20PJSC/Manual%20Consolidation/06-BS-2ndQUPAC'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ment1"/>
      <sheetName val="SCHEDULE 1"/>
      <sheetName val="Prov. fr bad debts"/>
      <sheetName val="SCHEDULE 3"/>
      <sheetName val="SCHEDULE 4"/>
      <sheetName val="SCHEDULE 5"/>
      <sheetName val="SCHEDULE 6-WH"/>
      <sheetName val="SCHEDULE 6-Normal"/>
      <sheetName val="SCHEDULE 6-Total"/>
      <sheetName val="SCHEDULE 7"/>
      <sheetName val="SCHEDULE 8"/>
      <sheetName val="SCHEDULE 9"/>
      <sheetName val="Prov-Income Tax"/>
      <sheetName val="Deffered Tax"/>
      <sheetName val="SCHEDULE 11"/>
      <sheetName val="Non-Controlling Interest"/>
      <sheetName val="Cash proceeds Entries"/>
      <sheetName val="IPC Investment in GDA"/>
    </sheetNames>
    <sheetDataSet>
      <sheetData sheetId="0">
        <row r="7">
          <cell r="D7">
            <v>77083.109845469953</v>
          </cell>
        </row>
      </sheetData>
      <sheetData sheetId="1">
        <row r="7">
          <cell r="D7">
            <v>44507.500966342086</v>
          </cell>
        </row>
      </sheetData>
      <sheetData sheetId="2">
        <row r="8">
          <cell r="B8">
            <v>128.93615613628845</v>
          </cell>
        </row>
      </sheetData>
      <sheetData sheetId="3">
        <row r="7">
          <cell r="D7">
            <v>0</v>
          </cell>
        </row>
      </sheetData>
      <sheetData sheetId="4">
        <row r="6">
          <cell r="D6">
            <v>12449.364484546995</v>
          </cell>
        </row>
      </sheetData>
      <sheetData sheetId="5">
        <row r="7">
          <cell r="E7">
            <v>17167.061812023709</v>
          </cell>
        </row>
      </sheetData>
      <sheetData sheetId="6">
        <row r="35">
          <cell r="E35">
            <v>0</v>
          </cell>
        </row>
      </sheetData>
      <sheetData sheetId="7"/>
      <sheetData sheetId="8">
        <row r="35">
          <cell r="E35">
            <v>68575.604520895358</v>
          </cell>
        </row>
      </sheetData>
      <sheetData sheetId="9">
        <row r="32">
          <cell r="F32">
            <v>0</v>
          </cell>
        </row>
      </sheetData>
      <sheetData sheetId="10">
        <row r="8">
          <cell r="F8">
            <v>1069.9674281410066</v>
          </cell>
        </row>
      </sheetData>
      <sheetData sheetId="11">
        <row r="6">
          <cell r="D6">
            <v>281.89524978831497</v>
          </cell>
        </row>
      </sheetData>
      <sheetData sheetId="12">
        <row r="7">
          <cell r="B7">
            <v>2572.4246333664778</v>
          </cell>
        </row>
      </sheetData>
      <sheetData sheetId="13">
        <row r="7">
          <cell r="B7">
            <v>-17445.203761164405</v>
          </cell>
        </row>
      </sheetData>
      <sheetData sheetId="14">
        <row r="8">
          <cell r="B8">
            <v>47664.272001323181</v>
          </cell>
        </row>
      </sheetData>
      <sheetData sheetId="15">
        <row r="4">
          <cell r="D4">
            <v>95785.394511798455</v>
          </cell>
        </row>
      </sheetData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Sep YTD'24 Exc Info"/>
      <sheetName val="Sep YTD 24 Package-AED  Exc Inf"/>
      <sheetName val="IS package 3rd Qrt'24 Exc Info"/>
      <sheetName val="3rd Qrt 24 Package-AED  Exc Inf"/>
      <sheetName val="Comprehensive Income Sep YTD'24"/>
      <sheetName val="Comprehensive Income 3rd Qrt'24"/>
      <sheetName val="Changes in Equity 3rdQrt'24"/>
      <sheetName val="Provisions"/>
      <sheetName val="B.S PJSC"/>
      <sheetName val="W.P PJSC"/>
      <sheetName val="PJSC Detailed C.F 3rd Qrt'24"/>
      <sheetName val="C.F Final as Financials"/>
      <sheetName val="Sheet PJSC"/>
      <sheetName val="Sheet Info"/>
      <sheetName val="Cash disclosure"/>
      <sheetName val="Deposits Sep'24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/>
      <sheetData sheetId="1">
        <row r="7">
          <cell r="C7">
            <v>4170013</v>
          </cell>
        </row>
      </sheetData>
      <sheetData sheetId="2">
        <row r="12">
          <cell r="C12">
            <v>1592356.0932372939</v>
          </cell>
        </row>
        <row r="13">
          <cell r="C13">
            <v>-1219294.1263746631</v>
          </cell>
        </row>
        <row r="15">
          <cell r="C15">
            <v>-89144.907333719413</v>
          </cell>
        </row>
        <row r="16">
          <cell r="C16">
            <v>-1822.009599166237</v>
          </cell>
        </row>
        <row r="17">
          <cell r="C17">
            <v>-2.3210831999999999</v>
          </cell>
        </row>
        <row r="18">
          <cell r="C18">
            <v>-221489.69659303641</v>
          </cell>
        </row>
        <row r="19">
          <cell r="C19">
            <v>0</v>
          </cell>
        </row>
        <row r="20">
          <cell r="C20">
            <v>7518.3287791840621</v>
          </cell>
        </row>
        <row r="23">
          <cell r="C23">
            <v>1005.3827413667943</v>
          </cell>
        </row>
        <row r="24">
          <cell r="C24">
            <v>-29928.717936135516</v>
          </cell>
        </row>
        <row r="25">
          <cell r="C25">
            <v>-767.17392543981703</v>
          </cell>
        </row>
        <row r="27">
          <cell r="C27">
            <v>-11110.244963243953</v>
          </cell>
        </row>
        <row r="31">
          <cell r="C31">
            <v>-200.75617195775348</v>
          </cell>
        </row>
        <row r="32">
          <cell r="C32"/>
        </row>
        <row r="37">
          <cell r="C37">
            <v>26885.890230758265</v>
          </cell>
        </row>
        <row r="38">
          <cell r="C38">
            <v>-200.75617195775337</v>
          </cell>
        </row>
        <row r="41">
          <cell r="C41">
            <v>434.71671848174554</v>
          </cell>
        </row>
      </sheetData>
      <sheetData sheetId="3"/>
      <sheetData sheetId="4">
        <row r="15">
          <cell r="C15">
            <v>-28453.401786751969</v>
          </cell>
        </row>
      </sheetData>
      <sheetData sheetId="5"/>
      <sheetData sheetId="6"/>
      <sheetData sheetId="7"/>
      <sheetData sheetId="8">
        <row r="10">
          <cell r="C10">
            <v>852791.6565628238</v>
          </cell>
        </row>
        <row r="11">
          <cell r="C11">
            <v>840634.02236238483</v>
          </cell>
        </row>
        <row r="12">
          <cell r="C12">
            <v>1771401.8135929287</v>
          </cell>
        </row>
        <row r="13">
          <cell r="C13">
            <v>306546.75346327433</v>
          </cell>
        </row>
        <row r="14">
          <cell r="C14">
            <v>35505.982447594004</v>
          </cell>
        </row>
        <row r="15">
          <cell r="C15">
            <v>18008.006031006527</v>
          </cell>
        </row>
        <row r="16">
          <cell r="C16">
            <v>32688.948351135248</v>
          </cell>
        </row>
        <row r="17">
          <cell r="C17">
            <v>18400.770085596265</v>
          </cell>
        </row>
        <row r="21">
          <cell r="C21">
            <v>1047684.8942224793</v>
          </cell>
        </row>
        <row r="22">
          <cell r="C22">
            <v>2858.5898355888344</v>
          </cell>
        </row>
        <row r="23">
          <cell r="C23">
            <v>326596.87552883226</v>
          </cell>
        </row>
        <row r="24">
          <cell r="C24">
            <v>6349.2719485399921</v>
          </cell>
        </row>
        <row r="25">
          <cell r="C25">
            <v>441105.68785975716</v>
          </cell>
        </row>
        <row r="27">
          <cell r="C27">
            <v>3221.236886470685</v>
          </cell>
        </row>
        <row r="31">
          <cell r="C31">
            <v>1464100.0004904012</v>
          </cell>
        </row>
        <row r="32">
          <cell r="C32">
            <v>-2750.9309041797142</v>
          </cell>
        </row>
        <row r="33">
          <cell r="C33">
            <v>-4390.7515543090522</v>
          </cell>
        </row>
        <row r="34">
          <cell r="C34">
            <v>500813.97055780329</v>
          </cell>
        </row>
        <row r="35">
          <cell r="C35">
            <v>-587499.56015831151</v>
          </cell>
        </row>
        <row r="36">
          <cell r="C36">
            <v>-336985.87682925095</v>
          </cell>
        </row>
        <row r="37">
          <cell r="C37">
            <v>-11564.428730174783</v>
          </cell>
        </row>
        <row r="38">
          <cell r="C38">
            <v>1481613.4411829798</v>
          </cell>
        </row>
        <row r="40">
          <cell r="C40">
            <v>2503335.8640549583</v>
          </cell>
        </row>
        <row r="41">
          <cell r="C41">
            <v>4913.7597498051673</v>
          </cell>
        </row>
        <row r="46">
          <cell r="C46">
            <v>929794.6427843147</v>
          </cell>
        </row>
        <row r="47">
          <cell r="C47">
            <v>751693.92752880813</v>
          </cell>
        </row>
        <row r="48">
          <cell r="C48">
            <v>193902.19099780856</v>
          </cell>
        </row>
        <row r="49">
          <cell r="C49">
            <v>42088.331721515562</v>
          </cell>
        </row>
        <row r="50">
          <cell r="C50">
            <v>11599.461041366812</v>
          </cell>
        </row>
        <row r="54">
          <cell r="C54">
            <v>320752.18352725316</v>
          </cell>
        </row>
        <row r="55">
          <cell r="C55">
            <v>178457.85088868969</v>
          </cell>
        </row>
        <row r="56">
          <cell r="C56">
            <v>5576.551437132317</v>
          </cell>
        </row>
        <row r="57">
          <cell r="C57">
            <v>37345.210871544099</v>
          </cell>
        </row>
        <row r="58">
          <cell r="C58">
            <v>33881.413865503913</v>
          </cell>
        </row>
        <row r="59">
          <cell r="C59">
            <v>31468.615424975254</v>
          </cell>
        </row>
        <row r="60">
          <cell r="C60">
            <v>657279.15926640469</v>
          </cell>
        </row>
        <row r="62">
          <cell r="C62">
            <v>1705.3475205304114</v>
          </cell>
        </row>
      </sheetData>
      <sheetData sheetId="9"/>
      <sheetData sheetId="10"/>
      <sheetData sheetId="11">
        <row r="9">
          <cell r="C9">
            <v>119457.5189120509</v>
          </cell>
        </row>
        <row r="10">
          <cell r="C10">
            <v>-835.958419240941</v>
          </cell>
        </row>
        <row r="14">
          <cell r="C14">
            <v>85927.009413395048</v>
          </cell>
        </row>
        <row r="15">
          <cell r="C15">
            <v>170376.02728595299</v>
          </cell>
        </row>
        <row r="16">
          <cell r="C16">
            <v>10549.40858979654</v>
          </cell>
        </row>
        <row r="17">
          <cell r="C17">
            <v>35331.19019485938</v>
          </cell>
        </row>
        <row r="18">
          <cell r="C18">
            <v>12332.440807536885</v>
          </cell>
        </row>
        <row r="19">
          <cell r="C19">
            <v>49460.694603918077</v>
          </cell>
        </row>
        <row r="20">
          <cell r="C20">
            <v>38799.041966364734</v>
          </cell>
        </row>
        <row r="21">
          <cell r="C21">
            <v>-144.52905075367516</v>
          </cell>
        </row>
        <row r="23">
          <cell r="C23">
            <v>270.28476258608026</v>
          </cell>
        </row>
        <row r="24">
          <cell r="C24">
            <v>0</v>
          </cell>
        </row>
        <row r="25">
          <cell r="C25">
            <v>-595.87567739999997</v>
          </cell>
        </row>
        <row r="26">
          <cell r="C26">
            <v>0</v>
          </cell>
        </row>
        <row r="29">
          <cell r="C29">
            <v>30657.061085340516</v>
          </cell>
        </row>
        <row r="30">
          <cell r="C30">
            <v>-5299.8810896575787</v>
          </cell>
        </row>
        <row r="31">
          <cell r="C31">
            <v>-60164.03340592223</v>
          </cell>
        </row>
        <row r="32">
          <cell r="C32">
            <v>-16205.384575024746</v>
          </cell>
        </row>
        <row r="33">
          <cell r="C33">
            <v>-2345.657986384881</v>
          </cell>
        </row>
        <row r="34">
          <cell r="C34">
            <v>-1402.5389586331876</v>
          </cell>
        </row>
        <row r="38">
          <cell r="C38">
            <v>-11452.896743858824</v>
          </cell>
        </row>
        <row r="39">
          <cell r="C39">
            <v>-34610.172750899212</v>
          </cell>
        </row>
        <row r="43">
          <cell r="C43">
            <v>-79276.422487130578</v>
          </cell>
        </row>
        <row r="44">
          <cell r="C44">
            <v>-23127.324771167896</v>
          </cell>
        </row>
        <row r="45">
          <cell r="C45">
            <v>-1560.855</v>
          </cell>
        </row>
        <row r="47">
          <cell r="C47">
            <v>5470.5907787775395</v>
          </cell>
        </row>
        <row r="49">
          <cell r="C49">
            <v>3605.4735476900282</v>
          </cell>
        </row>
        <row r="50">
          <cell r="C50">
            <v>2.2137031022793963E-2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-11381.770085596265</v>
          </cell>
        </row>
        <row r="54">
          <cell r="C54">
            <v>6.6523076005044288</v>
          </cell>
        </row>
        <row r="55">
          <cell r="C55">
            <v>-1664.5355081732805</v>
          </cell>
        </row>
        <row r="56">
          <cell r="C56">
            <v>1671.7770978293368</v>
          </cell>
        </row>
        <row r="62">
          <cell r="C62">
            <v>-95956.784482042844</v>
          </cell>
        </row>
        <row r="63">
          <cell r="C63">
            <v>33866.35324679668</v>
          </cell>
        </row>
        <row r="64">
          <cell r="C64">
            <v>-195455.60750083561</v>
          </cell>
        </row>
        <row r="65">
          <cell r="C65">
            <v>-10000</v>
          </cell>
        </row>
        <row r="66">
          <cell r="C66">
            <v>-168454.79637325657</v>
          </cell>
        </row>
        <row r="67">
          <cell r="C67">
            <v>-400.06737370971086</v>
          </cell>
        </row>
        <row r="69">
          <cell r="C69">
            <v>0</v>
          </cell>
        </row>
        <row r="70">
          <cell r="C70">
            <v>0</v>
          </cell>
        </row>
        <row r="75">
          <cell r="C75">
            <v>-6257.8514539703419</v>
          </cell>
        </row>
        <row r="76">
          <cell r="C76">
            <v>564340.55911071319</v>
          </cell>
        </row>
      </sheetData>
      <sheetData sheetId="12"/>
      <sheetData sheetId="13"/>
      <sheetData sheetId="14">
        <row r="4">
          <cell r="C4">
            <v>447629.18583154795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Dec YTD'24 Exc Info"/>
      <sheetName val="Dec YTD 24 Package-AED  Exc Inf"/>
      <sheetName val="IS package 4th Qrt'24 Exc Info"/>
      <sheetName val="4th Qrt 24 Package-AED  Exc Inf"/>
      <sheetName val="Comprehensive Income Dec YTD'24"/>
      <sheetName val="Comprehensive Income 4th Qrt'24"/>
      <sheetName val="Changes in Equity 4thQrt'24"/>
      <sheetName val="Provisions"/>
      <sheetName val="B.S PJSC"/>
      <sheetName val="W.P PJSC"/>
      <sheetName val="PJSC Detailed C.F 4th Qrt'24"/>
      <sheetName val="C.F Final as Financials"/>
      <sheetName val="Sheet PJSC"/>
      <sheetName val="Sheet Info"/>
      <sheetName val="Cash disclosure"/>
      <sheetName val="Deposits Dec'24"/>
      <sheetName val="Deposits Sep'22"/>
      <sheetName val="OCI movement"/>
      <sheetName val="MYUS opening balance"/>
      <sheetName val="Working capital per segement"/>
      <sheetName val="CF Working"/>
      <sheetName val="Deposits Sep'24"/>
    </sheetNames>
    <sheetDataSet>
      <sheetData sheetId="0">
        <row r="12">
          <cell r="C12">
            <v>6324443.7130477717</v>
          </cell>
        </row>
        <row r="13">
          <cell r="C13">
            <v>-4812240.5595571017</v>
          </cell>
        </row>
        <row r="15">
          <cell r="C15">
            <v>-340069.52069749555</v>
          </cell>
        </row>
        <row r="16">
          <cell r="C16">
            <v>6771.6311584888581</v>
          </cell>
        </row>
        <row r="17">
          <cell r="C17">
            <v>-23.014458078000001</v>
          </cell>
        </row>
        <row r="18">
          <cell r="C18">
            <v>-893000.63326680078</v>
          </cell>
        </row>
        <row r="19">
          <cell r="C19"/>
        </row>
        <row r="20">
          <cell r="C20">
            <v>10794.095438536469</v>
          </cell>
        </row>
        <row r="23">
          <cell r="C23">
            <v>4796.8736768446279</v>
          </cell>
        </row>
        <row r="24">
          <cell r="C24">
            <v>-121015.30577175948</v>
          </cell>
        </row>
        <row r="25">
          <cell r="C25">
            <v>2534.4760352847388</v>
          </cell>
        </row>
        <row r="27">
          <cell r="C27">
            <v>-45805.278130877967</v>
          </cell>
        </row>
        <row r="31">
          <cell r="C31">
            <v>-703.33261919433926</v>
          </cell>
        </row>
        <row r="32">
          <cell r="C32">
            <v>7041.7959369119999</v>
          </cell>
        </row>
        <row r="37">
          <cell r="C37">
            <v>135472.11270234184</v>
          </cell>
        </row>
        <row r="38">
          <cell r="C38">
            <v>6338.4640155116604</v>
          </cell>
        </row>
        <row r="41">
          <cell r="C41">
            <v>1714.3636339638485</v>
          </cell>
        </row>
      </sheetData>
      <sheetData sheetId="1">
        <row r="31">
          <cell r="J31">
            <v>137186.47747481315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0">
          <cell r="C10">
            <v>853245.1054949658</v>
          </cell>
        </row>
        <row r="11">
          <cell r="C11">
            <v>838395.76038709737</v>
          </cell>
        </row>
        <row r="12">
          <cell r="C12">
            <v>1730496.887382943</v>
          </cell>
        </row>
        <row r="13">
          <cell r="C13">
            <v>299304.61061708134</v>
          </cell>
        </row>
        <row r="14">
          <cell r="C14">
            <v>31417.471050772714</v>
          </cell>
        </row>
        <row r="15">
          <cell r="C15">
            <v>17975.092496975638</v>
          </cell>
        </row>
        <row r="16">
          <cell r="C16">
            <v>33350.979507578733</v>
          </cell>
        </row>
        <row r="17">
          <cell r="C17">
            <v>13428.787152175995</v>
          </cell>
        </row>
        <row r="21">
          <cell r="C21">
            <v>1104844.0773182346</v>
          </cell>
        </row>
        <row r="22">
          <cell r="C22">
            <v>2928.6667436895827</v>
          </cell>
        </row>
        <row r="23">
          <cell r="C23">
            <v>287503.12552904233</v>
          </cell>
        </row>
        <row r="24">
          <cell r="C24">
            <v>6141.7601039631654</v>
          </cell>
        </row>
        <row r="25">
          <cell r="C25">
            <v>506588.05449361645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-2766.9423401497606</v>
          </cell>
        </row>
        <row r="33">
          <cell r="C33">
            <v>-4069.1767982573165</v>
          </cell>
        </row>
        <row r="34">
          <cell r="C34">
            <v>511577.63624196232</v>
          </cell>
        </row>
        <row r="35">
          <cell r="C35">
            <v>-634125.52979165781</v>
          </cell>
        </row>
        <row r="36">
          <cell r="C36">
            <v>-336985.87682925095</v>
          </cell>
        </row>
        <row r="37">
          <cell r="C37">
            <v>-6231.3527480023249</v>
          </cell>
        </row>
        <row r="38">
          <cell r="C38">
            <v>1525041.7581094741</v>
          </cell>
        </row>
        <row r="40">
          <cell r="C40">
            <v>2516540.5163345197</v>
          </cell>
        </row>
        <row r="41">
          <cell r="C41">
            <v>7039.8059292301705</v>
          </cell>
        </row>
        <row r="46">
          <cell r="C46">
            <v>911917.72080949973</v>
          </cell>
        </row>
        <row r="47">
          <cell r="C47">
            <v>756743.49612770579</v>
          </cell>
        </row>
        <row r="48">
          <cell r="C48">
            <v>196851.58983834283</v>
          </cell>
        </row>
        <row r="49">
          <cell r="C49">
            <v>34750.844182567729</v>
          </cell>
        </row>
        <row r="50">
          <cell r="C50">
            <v>9810.0899465053371</v>
          </cell>
        </row>
        <row r="54">
          <cell r="C54">
            <v>331059.91144216328</v>
          </cell>
        </row>
        <row r="55">
          <cell r="C55">
            <v>179806.15613174016</v>
          </cell>
        </row>
        <row r="56">
          <cell r="C56">
            <v>4015.471921192533</v>
          </cell>
        </row>
        <row r="57">
          <cell r="C57">
            <v>21257.419398403159</v>
          </cell>
        </row>
        <row r="58">
          <cell r="C58">
            <v>35180.361888735199</v>
          </cell>
        </row>
        <row r="59">
          <cell r="C59">
            <v>30256.181860759254</v>
          </cell>
        </row>
        <row r="60">
          <cell r="C60">
            <v>690390.50569608179</v>
          </cell>
        </row>
        <row r="62">
          <cell r="C62">
            <v>0</v>
          </cell>
        </row>
      </sheetData>
      <sheetData sheetId="9">
        <row r="12">
          <cell r="C12">
            <v>1104844.0773182346</v>
          </cell>
        </row>
      </sheetData>
      <sheetData sheetId="10">
        <row r="20">
          <cell r="C20">
            <v>52360.425201147576</v>
          </cell>
        </row>
      </sheetData>
      <sheetData sheetId="11">
        <row r="9">
          <cell r="C9">
            <v>182991.75560569105</v>
          </cell>
        </row>
        <row r="10">
          <cell r="C10">
            <v>6253.2312328616608</v>
          </cell>
        </row>
        <row r="14">
          <cell r="C14">
            <v>114958.65169965166</v>
          </cell>
        </row>
        <row r="15">
          <cell r="C15">
            <v>224527.82794584995</v>
          </cell>
        </row>
        <row r="16">
          <cell r="C16">
            <v>14142.0149835435</v>
          </cell>
        </row>
        <row r="17">
          <cell r="C17">
            <v>45936.092205533896</v>
          </cell>
        </row>
        <row r="18">
          <cell r="C18">
            <v>-6748.6167004108584</v>
          </cell>
        </row>
        <row r="19">
          <cell r="C19">
            <v>63858.006893767277</v>
          </cell>
        </row>
        <row r="20">
          <cell r="C20">
            <v>52360.425201147576</v>
          </cell>
        </row>
        <row r="21">
          <cell r="C21">
            <v>-2534.4760352847388</v>
          </cell>
        </row>
        <row r="23">
          <cell r="C23">
            <v>-96.037742555017118</v>
          </cell>
        </row>
        <row r="24">
          <cell r="C24">
            <v>-7041.7959369119999</v>
          </cell>
        </row>
        <row r="26">
          <cell r="C26">
            <v>-1013.9203902</v>
          </cell>
        </row>
        <row r="30">
          <cell r="C30">
            <v>-7714.6241597457438</v>
          </cell>
        </row>
        <row r="31">
          <cell r="C31">
            <v>4695.9114421632839</v>
          </cell>
        </row>
        <row r="32">
          <cell r="C32">
            <v>-18507.735450300112</v>
          </cell>
        </row>
        <row r="33">
          <cell r="C33">
            <v>-17417.818139240746</v>
          </cell>
        </row>
        <row r="34">
          <cell r="C34">
            <v>32290.611966511213</v>
          </cell>
        </row>
        <row r="35">
          <cell r="C35">
            <v>-3191.9100534946629</v>
          </cell>
        </row>
        <row r="39">
          <cell r="C39">
            <v>-19051.110534529442</v>
          </cell>
        </row>
        <row r="40">
          <cell r="C40">
            <v>-43763.008515374706</v>
          </cell>
        </row>
        <row r="44">
          <cell r="C44">
            <v>-124324.80944051246</v>
          </cell>
        </row>
        <row r="45">
          <cell r="C45">
            <v>-27137.456329217555</v>
          </cell>
        </row>
        <row r="46">
          <cell r="C46">
            <v>-1560.855</v>
          </cell>
        </row>
        <row r="48">
          <cell r="C48">
            <v>7814.9114173984681</v>
          </cell>
        </row>
        <row r="50">
          <cell r="C50">
            <v>4796.8736768446279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4216.253014767598</v>
          </cell>
        </row>
        <row r="54">
          <cell r="C54">
            <v>-6166.7488759305616</v>
          </cell>
        </row>
        <row r="55">
          <cell r="C55">
            <v>-23.014475777881358</v>
          </cell>
        </row>
        <row r="56">
          <cell r="C56">
            <v>-1418.7396266591793</v>
          </cell>
        </row>
        <row r="57">
          <cell r="C57">
            <v>1879.2889424061636</v>
          </cell>
        </row>
        <row r="63">
          <cell r="C63">
            <v>-126757.7236296499</v>
          </cell>
        </row>
        <row r="64">
          <cell r="C64">
            <v>31365.896067043348</v>
          </cell>
        </row>
        <row r="65">
          <cell r="C65">
            <v>-194293.03702502933</v>
          </cell>
        </row>
        <row r="66">
          <cell r="C66">
            <v>-10000</v>
          </cell>
        </row>
        <row r="67">
          <cell r="C67">
            <v>-237387.86363762748</v>
          </cell>
        </row>
        <row r="68">
          <cell r="C68">
            <v>-354.18270277461261</v>
          </cell>
        </row>
        <row r="69">
          <cell r="C69"/>
        </row>
        <row r="70">
          <cell r="C70">
            <v>0</v>
          </cell>
        </row>
        <row r="76">
          <cell r="C76">
            <v>2646.8224162854822</v>
          </cell>
        </row>
        <row r="77">
          <cell r="C77">
            <v>564343.82255686424</v>
          </cell>
        </row>
      </sheetData>
      <sheetData sheetId="12">
        <row r="13">
          <cell r="F13">
            <v>95549051.66353178</v>
          </cell>
        </row>
      </sheetData>
      <sheetData sheetId="13"/>
      <sheetData sheetId="14">
        <row r="4">
          <cell r="C4">
            <v>512933.70740420878</v>
          </cell>
        </row>
      </sheetData>
      <sheetData sheetId="15"/>
      <sheetData sheetId="16"/>
      <sheetData sheetId="17">
        <row r="10">
          <cell r="E10">
            <v>-148.03751912945688</v>
          </cell>
        </row>
      </sheetData>
      <sheetData sheetId="18"/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1st Qtr'25 Exc Info"/>
      <sheetName val="1st Qrt 25 Package-AED  Exc Inf"/>
      <sheetName val="IS package 4th Qrt'24 Exc Info"/>
      <sheetName val="4th Qrt 24 Package-AED  Exc Inf"/>
      <sheetName val="Comprehensive Income 1st Qrt'25"/>
      <sheetName val="Comprehensive Income 4th Qrt'24"/>
      <sheetName val="Changes in Equity 1stQrt'25"/>
      <sheetName val="Provisions"/>
      <sheetName val="B.S PJSC"/>
      <sheetName val="W.P PJSC"/>
      <sheetName val="PJSC Detailed C.F 1st Qrt'25"/>
      <sheetName val="C.F Final as Financials"/>
      <sheetName val="Sheet PJSC"/>
      <sheetName val="Sheet Info"/>
      <sheetName val="Cash disclosure"/>
      <sheetName val="Deposits Mar'25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>
        <row r="12">
          <cell r="C12">
            <v>1563017.1910417411</v>
          </cell>
        </row>
        <row r="13">
          <cell r="C13">
            <v>-1198342.2614754876</v>
          </cell>
        </row>
        <row r="15">
          <cell r="C15">
            <v>-87683.853324673924</v>
          </cell>
        </row>
        <row r="16">
          <cell r="C16">
            <v>-3886.6375026362584</v>
          </cell>
        </row>
        <row r="17">
          <cell r="C17">
            <v>13.283169857999999</v>
          </cell>
        </row>
        <row r="18">
          <cell r="C18">
            <v>-217990.78395408636</v>
          </cell>
        </row>
        <row r="20">
          <cell r="C20">
            <v>5777.0154083937578</v>
          </cell>
        </row>
        <row r="22">
          <cell r="C22">
            <v>-8157.5064759720008</v>
          </cell>
        </row>
        <row r="23">
          <cell r="C23">
            <v>1093.5703974627579</v>
          </cell>
        </row>
        <row r="24">
          <cell r="C24">
            <v>-27628.668207725044</v>
          </cell>
        </row>
        <row r="25">
          <cell r="C25">
            <v>146.92237744178507</v>
          </cell>
        </row>
        <row r="27">
          <cell r="C27">
            <v>-8571.6264989597839</v>
          </cell>
        </row>
        <row r="31">
          <cell r="C31">
            <v>0</v>
          </cell>
        </row>
        <row r="32">
          <cell r="C32">
            <v>0</v>
          </cell>
        </row>
        <row r="37">
          <cell r="C37">
            <v>17122.965788946422</v>
          </cell>
        </row>
        <row r="38">
          <cell r="C38">
            <v>0</v>
          </cell>
        </row>
        <row r="41">
          <cell r="C41">
            <v>663.67916640927831</v>
          </cell>
        </row>
      </sheetData>
      <sheetData sheetId="1"/>
      <sheetData sheetId="2"/>
      <sheetData sheetId="3"/>
      <sheetData sheetId="4">
        <row r="15">
          <cell r="C15">
            <v>-579.27806630030568</v>
          </cell>
        </row>
      </sheetData>
      <sheetData sheetId="5"/>
      <sheetData sheetId="6">
        <row r="13">
          <cell r="U13">
            <v>-0.5300198467823698</v>
          </cell>
        </row>
      </sheetData>
      <sheetData sheetId="7"/>
      <sheetData sheetId="8">
        <row r="10">
          <cell r="C10">
            <v>873853.81659999676</v>
          </cell>
        </row>
        <row r="11">
          <cell r="C11">
            <v>816502.90200132912</v>
          </cell>
        </row>
        <row r="12">
          <cell r="C12">
            <v>1728235.5148254747</v>
          </cell>
        </row>
        <row r="13">
          <cell r="C13">
            <v>297999.12424915435</v>
          </cell>
        </row>
        <row r="14">
          <cell r="C14">
            <v>31657.910526160045</v>
          </cell>
        </row>
        <row r="15">
          <cell r="C15">
            <v>18622.13545757097</v>
          </cell>
        </row>
        <row r="16">
          <cell r="C16">
            <v>36007.600318093362</v>
          </cell>
        </row>
        <row r="17">
          <cell r="C17">
            <v>13846.712871695892</v>
          </cell>
        </row>
        <row r="21">
          <cell r="C21">
            <v>1124317.401731947</v>
          </cell>
        </row>
        <row r="22">
          <cell r="C22">
            <v>0</v>
          </cell>
        </row>
        <row r="23">
          <cell r="C23">
            <v>323435.86698588135</v>
          </cell>
        </row>
        <row r="24">
          <cell r="C24">
            <v>5993.2627605664329</v>
          </cell>
        </row>
        <row r="25">
          <cell r="C25">
            <v>538850.27850877936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-757.210863641743</v>
          </cell>
        </row>
        <row r="33">
          <cell r="C33">
            <v>-813.64815455411815</v>
          </cell>
        </row>
        <row r="34">
          <cell r="C34">
            <v>511577.63587321789</v>
          </cell>
        </row>
        <row r="35">
          <cell r="C35">
            <v>-632686.82010668516</v>
          </cell>
        </row>
        <row r="36">
          <cell r="C36">
            <v>-336985.87682925095</v>
          </cell>
        </row>
        <row r="37">
          <cell r="C37">
            <v>-5583.9971680806702</v>
          </cell>
        </row>
        <row r="38">
          <cell r="C38">
            <v>1542164.7253143613</v>
          </cell>
        </row>
        <row r="40">
          <cell r="C40">
            <v>2541014.8085557679</v>
          </cell>
        </row>
        <row r="41">
          <cell r="C41">
            <v>7336.1736751925018</v>
          </cell>
        </row>
        <row r="46">
          <cell r="C46">
            <v>919141.42365966819</v>
          </cell>
        </row>
        <row r="47">
          <cell r="C47">
            <v>710580.63953579322</v>
          </cell>
        </row>
        <row r="48">
          <cell r="C48">
            <v>200484.81201841903</v>
          </cell>
        </row>
        <row r="49">
          <cell r="C49">
            <v>35667.326684495369</v>
          </cell>
        </row>
        <row r="50">
          <cell r="C50">
            <v>9498.0592556211541</v>
          </cell>
        </row>
        <row r="54">
          <cell r="C54">
            <v>346258.49663771217</v>
          </cell>
        </row>
        <row r="55">
          <cell r="C55">
            <v>184519.70019504949</v>
          </cell>
        </row>
        <row r="56">
          <cell r="C56">
            <v>7342.6133193270307</v>
          </cell>
        </row>
        <row r="57">
          <cell r="C57">
            <v>19101.773008579792</v>
          </cell>
        </row>
        <row r="58">
          <cell r="C58">
            <v>41283.320832381578</v>
          </cell>
        </row>
        <row r="59">
          <cell r="C59">
            <v>27599.930475840738</v>
          </cell>
        </row>
        <row r="60">
          <cell r="C60">
            <v>759493.14708781731</v>
          </cell>
        </row>
        <row r="62">
          <cell r="C62">
            <v>0</v>
          </cell>
        </row>
      </sheetData>
      <sheetData sheetId="9">
        <row r="11">
          <cell r="C11">
            <v>544843.54126934579</v>
          </cell>
        </row>
      </sheetData>
      <sheetData sheetId="10">
        <row r="13">
          <cell r="C13">
            <v>27725.814077214807</v>
          </cell>
        </row>
      </sheetData>
      <sheetData sheetId="11">
        <row r="9">
          <cell r="C9">
            <v>26358.271454316127</v>
          </cell>
        </row>
        <row r="10">
          <cell r="C10">
            <v>0</v>
          </cell>
        </row>
        <row r="14">
          <cell r="C14">
            <v>27725.814077214807</v>
          </cell>
        </row>
        <row r="15">
          <cell r="C15">
            <v>54771.22724738442</v>
          </cell>
        </row>
        <row r="16">
          <cell r="C16">
            <v>3547.4807472162383</v>
          </cell>
        </row>
        <row r="17">
          <cell r="C17">
            <v>7489.641325043186</v>
          </cell>
        </row>
        <row r="18">
          <cell r="C18">
            <v>3873.3543327782586</v>
          </cell>
        </row>
        <row r="19">
          <cell r="C19">
            <v>12772.511731785513</v>
          </cell>
        </row>
        <row r="20">
          <cell r="C20">
            <v>13762.586078476774</v>
          </cell>
        </row>
        <row r="21">
          <cell r="C21">
            <v>-146.92237744178507</v>
          </cell>
        </row>
        <row r="23">
          <cell r="C23">
            <v>-58.602319925073594</v>
          </cell>
        </row>
        <row r="24">
          <cell r="C24">
            <v>0</v>
          </cell>
        </row>
        <row r="26">
          <cell r="C26">
            <v>-280.54488253800002</v>
          </cell>
        </row>
        <row r="30">
          <cell r="C30">
            <v>-23360.03923458323</v>
          </cell>
        </row>
        <row r="31">
          <cell r="C31">
            <v>15198.496637712175</v>
          </cell>
        </row>
        <row r="32">
          <cell r="C32">
            <v>-35932.533729570918</v>
          </cell>
        </row>
        <row r="33">
          <cell r="C33">
            <v>-2656.0695241592621</v>
          </cell>
        </row>
        <row r="34">
          <cell r="C34">
            <v>70017.640480407397</v>
          </cell>
        </row>
        <row r="35">
          <cell r="C35">
            <v>-312.94074437884592</v>
          </cell>
        </row>
        <row r="39">
          <cell r="C39">
            <v>-3723.5202619805427</v>
          </cell>
        </row>
        <row r="40">
          <cell r="C40">
            <v>-2918.1069505768332</v>
          </cell>
        </row>
        <row r="44">
          <cell r="C44">
            <v>-44839.145321164448</v>
          </cell>
        </row>
        <row r="45">
          <cell r="C45">
            <v>0</v>
          </cell>
        </row>
        <row r="46">
          <cell r="C46">
            <v>0</v>
          </cell>
        </row>
        <row r="48">
          <cell r="C48">
            <v>479.34166652057695</v>
          </cell>
        </row>
        <row r="50">
          <cell r="C50">
            <v>1093.5703974627579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-419.03163374132617</v>
          </cell>
        </row>
        <row r="55">
          <cell r="C55">
            <v>13.283177572514973</v>
          </cell>
        </row>
        <row r="56">
          <cell r="C56">
            <v>0</v>
          </cell>
        </row>
        <row r="57">
          <cell r="C57">
            <v>148.49734339673205</v>
          </cell>
        </row>
        <row r="63">
          <cell r="C63">
            <v>-28543.569855939917</v>
          </cell>
        </row>
        <row r="64">
          <cell r="C64">
            <v>10115.443184826519</v>
          </cell>
        </row>
        <row r="65">
          <cell r="C65">
            <v>-13781.011337763439</v>
          </cell>
        </row>
        <row r="66">
          <cell r="C66">
            <v>8140.7579999999998</v>
          </cell>
        </row>
        <row r="67">
          <cell r="C67">
            <v>-67022.141035671666</v>
          </cell>
        </row>
        <row r="68">
          <cell r="C68">
            <v>0</v>
          </cell>
        </row>
        <row r="70">
          <cell r="C70">
            <v>0</v>
          </cell>
        </row>
        <row r="76">
          <cell r="C76">
            <v>-2578.9601164333667</v>
          </cell>
        </row>
        <row r="77">
          <cell r="C77">
            <v>502573</v>
          </cell>
        </row>
      </sheetData>
      <sheetData sheetId="12">
        <row r="17">
          <cell r="F17">
            <v>420739.34659550339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Jun YTD'25 Exc Info"/>
      <sheetName val="Jun YTD 25 Package-AED  Exc Inf"/>
      <sheetName val="IS package 2nd Qrt'25 Exc Info"/>
      <sheetName val="2nd Qrt 25 Package-AED  Exc Inf"/>
      <sheetName val="Comprehensive Income Jun YTD'25"/>
      <sheetName val="Comprehensive Income 2nd Qrt'25"/>
      <sheetName val="Changes in Equity 2ndQrt'25"/>
      <sheetName val="Provisions"/>
      <sheetName val="B.S PJSC"/>
      <sheetName val="W.P PJSC"/>
      <sheetName val="PJSC Detailed C.F 2nd Qrt'25"/>
      <sheetName val="C.F Final as Financials"/>
      <sheetName val="Sheet PJSC"/>
      <sheetName val="Sheet Info"/>
      <sheetName val="Cash disclosure"/>
      <sheetName val="Deposits Jun'25"/>
      <sheetName val="Deposits Sep'22"/>
      <sheetName val="OCI movement"/>
      <sheetName val="MYUS opening balance"/>
      <sheetName val="Working capital per segement"/>
      <sheetName val="CF Working"/>
      <sheetName val="Deposits Mar'25"/>
    </sheetNames>
    <sheetDataSet>
      <sheetData sheetId="0">
        <row r="12">
          <cell r="C12">
            <v>3060706.7161882906</v>
          </cell>
        </row>
      </sheetData>
      <sheetData sheetId="1"/>
      <sheetData sheetId="2">
        <row r="12">
          <cell r="C12">
            <v>1497689.5251465503</v>
          </cell>
        </row>
        <row r="13">
          <cell r="C13">
            <v>-1168424.5515683903</v>
          </cell>
        </row>
        <row r="15">
          <cell r="C15">
            <v>-83847.052783568375</v>
          </cell>
        </row>
        <row r="16">
          <cell r="C16">
            <v>-5717.5737578719891</v>
          </cell>
        </row>
        <row r="17">
          <cell r="C17">
            <v>2.3078186306233341</v>
          </cell>
        </row>
        <row r="18">
          <cell r="C18">
            <v>-225156.08666407975</v>
          </cell>
        </row>
        <row r="19">
          <cell r="C19">
            <v>0</v>
          </cell>
        </row>
        <row r="20">
          <cell r="C20">
            <v>1583.169200909922</v>
          </cell>
        </row>
        <row r="22">
          <cell r="C22">
            <v>-133.98012060000002</v>
          </cell>
        </row>
        <row r="23">
          <cell r="C23">
            <v>1557.5553312212289</v>
          </cell>
        </row>
        <row r="24">
          <cell r="C24">
            <v>-27827.277977025158</v>
          </cell>
        </row>
        <row r="25">
          <cell r="C25">
            <v>-1038.5938448810095</v>
          </cell>
        </row>
        <row r="27">
          <cell r="C27">
            <v>1207.7585775778261</v>
          </cell>
        </row>
        <row r="31">
          <cell r="C31">
            <v>0</v>
          </cell>
        </row>
        <row r="32">
          <cell r="C32">
            <v>0</v>
          </cell>
        </row>
        <row r="37">
          <cell r="C37">
            <v>-9269.3515549962613</v>
          </cell>
        </row>
        <row r="38">
          <cell r="C38">
            <v>0</v>
          </cell>
        </row>
        <row r="41">
          <cell r="C41">
            <v>-835.44908653017239</v>
          </cell>
        </row>
      </sheetData>
      <sheetData sheetId="3"/>
      <sheetData sheetId="4">
        <row r="15">
          <cell r="C15">
            <v>-2524.2502019691683</v>
          </cell>
        </row>
      </sheetData>
      <sheetData sheetId="5"/>
      <sheetData sheetId="6">
        <row r="13">
          <cell r="U13">
            <v>-407.60062520264466</v>
          </cell>
        </row>
      </sheetData>
      <sheetData sheetId="7"/>
      <sheetData sheetId="8">
        <row r="10">
          <cell r="C10">
            <v>888823.87421023671</v>
          </cell>
        </row>
        <row r="11">
          <cell r="C11">
            <v>799222.9866375624</v>
          </cell>
        </row>
        <row r="12">
          <cell r="C12">
            <v>1728267.1447259374</v>
          </cell>
        </row>
        <row r="13">
          <cell r="C13">
            <v>294373.58594394696</v>
          </cell>
        </row>
        <row r="14">
          <cell r="C14">
            <v>30948.073801050308</v>
          </cell>
        </row>
        <row r="15">
          <cell r="C15">
            <v>18470.422128077596</v>
          </cell>
        </row>
        <row r="16">
          <cell r="C16">
            <v>40989.313947550654</v>
          </cell>
        </row>
        <row r="17">
          <cell r="C17">
            <v>14184.444572132852</v>
          </cell>
        </row>
        <row r="21">
          <cell r="C21">
            <v>1044260.2034827835</v>
          </cell>
        </row>
        <row r="22">
          <cell r="C22">
            <v>0</v>
          </cell>
        </row>
        <row r="23">
          <cell r="C23">
            <v>326739.87277869502</v>
          </cell>
        </row>
        <row r="24">
          <cell r="C24">
            <v>7331.8375814589235</v>
          </cell>
        </row>
        <row r="25">
          <cell r="C25">
            <v>535136.36740395392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-757.210863641743</v>
          </cell>
        </row>
        <row r="33">
          <cell r="C33">
            <v>-813.64815455411815</v>
          </cell>
        </row>
        <row r="34">
          <cell r="C34">
            <v>511577.63624196232</v>
          </cell>
        </row>
        <row r="35">
          <cell r="C35">
            <v>-638344.18178650283</v>
          </cell>
        </row>
        <row r="36">
          <cell r="C36">
            <v>-336985.87682925095</v>
          </cell>
        </row>
        <row r="37">
          <cell r="C37">
            <v>-9788.4780981103213</v>
          </cell>
        </row>
        <row r="38">
          <cell r="C38">
            <v>1532895.3711098104</v>
          </cell>
        </row>
        <row r="40">
          <cell r="C40">
            <v>2521883.6121101142</v>
          </cell>
        </row>
        <row r="41">
          <cell r="C41">
            <v>5189.1879447369265</v>
          </cell>
        </row>
        <row r="46">
          <cell r="C46">
            <v>938313.96527422708</v>
          </cell>
        </row>
        <row r="47">
          <cell r="C47">
            <v>718795.96497128892</v>
          </cell>
        </row>
        <row r="48">
          <cell r="C48">
            <v>202450.55081543326</v>
          </cell>
        </row>
        <row r="49">
          <cell r="C49">
            <v>38510.963080268171</v>
          </cell>
        </row>
        <row r="50">
          <cell r="C50">
            <v>9679.882156862006</v>
          </cell>
        </row>
        <row r="54">
          <cell r="C54">
            <v>371701.28053501202</v>
          </cell>
        </row>
        <row r="55">
          <cell r="C55">
            <v>179634.95647092443</v>
          </cell>
        </row>
        <row r="56">
          <cell r="C56">
            <v>6889.2642089965884</v>
          </cell>
        </row>
        <row r="57">
          <cell r="C57">
            <v>21312.197702855192</v>
          </cell>
        </row>
        <row r="58">
          <cell r="C58">
            <v>29510.164937400441</v>
          </cell>
        </row>
        <row r="59">
          <cell r="C59">
            <v>23192.915828504018</v>
          </cell>
        </row>
        <row r="60">
          <cell r="C60">
            <v>661682.91373914608</v>
          </cell>
        </row>
        <row r="62">
          <cell r="C62">
            <v>0</v>
          </cell>
        </row>
      </sheetData>
      <sheetData sheetId="9">
        <row r="11">
          <cell r="C11">
            <v>542468.20498541289</v>
          </cell>
        </row>
      </sheetData>
      <sheetData sheetId="10">
        <row r="8">
          <cell r="C8">
            <v>15045.712235210132</v>
          </cell>
        </row>
      </sheetData>
      <sheetData sheetId="11">
        <row r="9">
          <cell r="C9">
            <v>15045.712235210132</v>
          </cell>
        </row>
        <row r="10">
          <cell r="C10">
            <v>0</v>
          </cell>
        </row>
        <row r="14">
          <cell r="C14">
            <v>56640.569996217804</v>
          </cell>
        </row>
        <row r="15">
          <cell r="C15">
            <v>110929.77008206124</v>
          </cell>
        </row>
        <row r="16">
          <cell r="C16">
            <v>7141.3905306182132</v>
          </cell>
        </row>
        <row r="17">
          <cell r="C17">
            <v>10851.297565144669</v>
          </cell>
        </row>
        <row r="18">
          <cell r="C18">
            <v>9588.6202643045672</v>
          </cell>
        </row>
        <row r="19">
          <cell r="C19">
            <v>25091.279326225093</v>
          </cell>
        </row>
        <row r="20">
          <cell r="C20">
            <v>27713.541129841131</v>
          </cell>
        </row>
        <row r="21">
          <cell r="C21">
            <v>891.67146743922444</v>
          </cell>
        </row>
        <row r="23">
          <cell r="C23">
            <v>135.87677673644527</v>
          </cell>
        </row>
        <row r="24">
          <cell r="C24">
            <v>0</v>
          </cell>
        </row>
        <row r="26">
          <cell r="C26">
            <v>-420.66327660000002</v>
          </cell>
        </row>
        <row r="30">
          <cell r="C30">
            <v>50979.585256708233</v>
          </cell>
        </row>
        <row r="31">
          <cell r="C31">
            <v>40641.280535012018</v>
          </cell>
        </row>
        <row r="32">
          <cell r="C32">
            <v>-39236.539522384584</v>
          </cell>
        </row>
        <row r="33">
          <cell r="C33">
            <v>-7063.0841714959824</v>
          </cell>
        </row>
        <row r="34">
          <cell r="C34">
            <v>-27973.457426172034</v>
          </cell>
        </row>
        <row r="35">
          <cell r="C35">
            <v>-131.11784313799399</v>
          </cell>
        </row>
        <row r="39">
          <cell r="C39">
            <v>-9363.7738517792313</v>
          </cell>
        </row>
        <row r="40">
          <cell r="C40">
            <v>-15065.54293967923</v>
          </cell>
        </row>
        <row r="44">
          <cell r="C44">
            <v>-78652.096171444369</v>
          </cell>
        </row>
        <row r="45">
          <cell r="C45">
            <v>0</v>
          </cell>
        </row>
        <row r="46">
          <cell r="C46">
            <v>0</v>
          </cell>
        </row>
        <row r="48">
          <cell r="C48">
            <v>1453.56657554969</v>
          </cell>
        </row>
        <row r="50">
          <cell r="C50">
            <v>2651.1257286839814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-756.76333417828585</v>
          </cell>
        </row>
        <row r="55">
          <cell r="C55">
            <v>15.590996203039538</v>
          </cell>
        </row>
        <row r="56">
          <cell r="C56">
            <v>0</v>
          </cell>
        </row>
        <row r="57">
          <cell r="C57">
            <v>-1190.0774774957579</v>
          </cell>
        </row>
        <row r="63">
          <cell r="C63">
            <v>-56189.983276893181</v>
          </cell>
        </row>
        <row r="64">
          <cell r="C64">
            <v>11513.285461522808</v>
          </cell>
        </row>
        <row r="65">
          <cell r="C65">
            <v>-15489.610871435261</v>
          </cell>
        </row>
        <row r="66">
          <cell r="C66">
            <v>8140.7579999999998</v>
          </cell>
        </row>
        <row r="67">
          <cell r="C67">
            <v>-90810.512748492445</v>
          </cell>
        </row>
        <row r="68">
          <cell r="C68">
            <v>-879.27068403908447</v>
          </cell>
        </row>
        <row r="70">
          <cell r="C70">
            <v>0</v>
          </cell>
        </row>
        <row r="76">
          <cell r="C76">
            <v>-10528.38019390929</v>
          </cell>
        </row>
        <row r="77">
          <cell r="C77">
            <v>502573</v>
          </cell>
        </row>
      </sheetData>
      <sheetData sheetId="12">
        <row r="17">
          <cell r="F17">
            <v>1589443.3522861358</v>
          </cell>
        </row>
      </sheetData>
      <sheetData sheetId="13"/>
      <sheetData sheetId="14"/>
      <sheetData sheetId="15"/>
      <sheetData sheetId="16"/>
      <sheetData sheetId="17">
        <row r="5">
          <cell r="C5">
            <v>4436.7906748789037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Sep YTD'25 Exc Info"/>
      <sheetName val="Sep YTD 25 Package-AED  Exc Inf"/>
      <sheetName val="IS package 3rd Qrt'25 Exc Info"/>
      <sheetName val="3rd Qrt 25 Package-AED  Exc Inf"/>
      <sheetName val="Comprehensive Income Sep YTD'25"/>
      <sheetName val="Comprehensive Income 3rd Qrt'25"/>
      <sheetName val="Changes in Equity 3rdQrt'25"/>
      <sheetName val="Provisions"/>
      <sheetName val="B.S PJSC"/>
      <sheetName val="W.P PJSC"/>
      <sheetName val="PJSC Detailed C.F 3rd Qrt'25"/>
      <sheetName val="C.F Final as Financials"/>
      <sheetName val="Sheet PJSC"/>
      <sheetName val="Sheet Info"/>
      <sheetName val="Cash disclosure"/>
      <sheetName val="Deposits Sep'25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>
        <row r="12">
          <cell r="C12">
            <v>4659780.8602152271</v>
          </cell>
        </row>
      </sheetData>
      <sheetData sheetId="1">
        <row r="7">
          <cell r="C7">
            <v>4629311</v>
          </cell>
        </row>
      </sheetData>
      <sheetData sheetId="2">
        <row r="12">
          <cell r="C12">
            <v>1599074.1440269363</v>
          </cell>
        </row>
        <row r="13">
          <cell r="C13">
            <v>-1228808.1481410069</v>
          </cell>
        </row>
        <row r="15">
          <cell r="C15">
            <v>-86132.78621433278</v>
          </cell>
        </row>
        <row r="16">
          <cell r="C16">
            <v>-1294.6171006563666</v>
          </cell>
        </row>
        <row r="17">
          <cell r="C17">
            <v>-15.164197941086991</v>
          </cell>
        </row>
        <row r="18">
          <cell r="C18">
            <v>-225144.66418158385</v>
          </cell>
        </row>
        <row r="19">
          <cell r="C19">
            <v>0</v>
          </cell>
        </row>
        <row r="20">
          <cell r="C20">
            <v>6445.1992602211849</v>
          </cell>
        </row>
        <row r="22">
          <cell r="C22">
            <v>-11337.316200000001</v>
          </cell>
        </row>
        <row r="23">
          <cell r="C23">
            <v>1436.8303810958248</v>
          </cell>
        </row>
        <row r="24">
          <cell r="C24">
            <v>-33207.44501361061</v>
          </cell>
        </row>
        <row r="25">
          <cell r="C25">
            <v>-1614.4805287936219</v>
          </cell>
        </row>
        <row r="27">
          <cell r="C27">
            <v>-13657.381153033892</v>
          </cell>
        </row>
        <row r="31">
          <cell r="C31">
            <v>0</v>
          </cell>
        </row>
        <row r="32">
          <cell r="C32">
            <v>0</v>
          </cell>
        </row>
        <row r="37">
          <cell r="C37">
            <v>5212.0439494376542</v>
          </cell>
        </row>
        <row r="38">
          <cell r="C38">
            <v>0</v>
          </cell>
        </row>
        <row r="41">
          <cell r="C41">
            <v>532.12698785680459</v>
          </cell>
        </row>
      </sheetData>
      <sheetData sheetId="3"/>
      <sheetData sheetId="4">
        <row r="15">
          <cell r="C15">
            <v>2853.4440724868009</v>
          </cell>
        </row>
      </sheetData>
      <sheetData sheetId="5"/>
      <sheetData sheetId="6">
        <row r="17">
          <cell r="G17">
            <v>4769.7710810619465</v>
          </cell>
        </row>
      </sheetData>
      <sheetData sheetId="7"/>
      <sheetData sheetId="8">
        <row r="10">
          <cell r="C10">
            <v>891242.74752434471</v>
          </cell>
        </row>
        <row r="11">
          <cell r="C11">
            <v>838257.97227232484</v>
          </cell>
        </row>
        <row r="12">
          <cell r="C12">
            <v>1728267.1446306873</v>
          </cell>
        </row>
        <row r="13">
          <cell r="C13">
            <v>290822.51017485751</v>
          </cell>
        </row>
        <row r="14">
          <cell r="C14">
            <v>29446.40158819994</v>
          </cell>
        </row>
        <row r="15">
          <cell r="C15">
            <v>4637.0455426036788</v>
          </cell>
        </row>
        <row r="16">
          <cell r="C16">
            <v>43470.517715329916</v>
          </cell>
        </row>
        <row r="17">
          <cell r="C17">
            <v>13483.513096283263</v>
          </cell>
        </row>
        <row r="21">
          <cell r="C21">
            <v>1064245.1293131951</v>
          </cell>
        </row>
        <row r="22">
          <cell r="C22">
            <v>2271.6288534240975</v>
          </cell>
        </row>
        <row r="23">
          <cell r="C23">
            <v>306752.12758251687</v>
          </cell>
        </row>
        <row r="24">
          <cell r="C24">
            <v>6339.4917541086488</v>
          </cell>
        </row>
        <row r="25">
          <cell r="C25">
            <v>568640.79508385283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0</v>
          </cell>
        </row>
        <row r="33">
          <cell r="C33">
            <v>700.77108106194669</v>
          </cell>
        </row>
        <row r="34">
          <cell r="C34">
            <v>511577.63623745681</v>
          </cell>
        </row>
        <row r="35">
          <cell r="C35">
            <v>-638973.01361922792</v>
          </cell>
        </row>
        <row r="36">
          <cell r="C36">
            <v>-336985.87682925095</v>
          </cell>
        </row>
        <row r="37">
          <cell r="C37">
            <v>-23608.469245650947</v>
          </cell>
        </row>
        <row r="38">
          <cell r="C38">
            <v>1538107.410900604</v>
          </cell>
        </row>
        <row r="40">
          <cell r="C40">
            <v>2514918.4590153941</v>
          </cell>
        </row>
        <row r="41">
          <cell r="C41">
            <v>5837.2540973865671</v>
          </cell>
        </row>
        <row r="46">
          <cell r="C46">
            <v>929981.96226310474</v>
          </cell>
        </row>
        <row r="47">
          <cell r="C47">
            <v>772179.08620560775</v>
          </cell>
        </row>
        <row r="48">
          <cell r="C48">
            <v>206957.25664005498</v>
          </cell>
        </row>
        <row r="49">
          <cell r="C49">
            <v>39917.754189082458</v>
          </cell>
        </row>
        <row r="50">
          <cell r="C50">
            <v>12941.004134258756</v>
          </cell>
        </row>
        <row r="54">
          <cell r="C54">
            <v>362050.83928323147</v>
          </cell>
        </row>
        <row r="55">
          <cell r="C55">
            <v>177526.70738236152</v>
          </cell>
        </row>
        <row r="56">
          <cell r="C56">
            <v>5306.9711116004519</v>
          </cell>
        </row>
        <row r="57">
          <cell r="C57">
            <v>22933.625423299356</v>
          </cell>
        </row>
        <row r="58">
          <cell r="C58">
            <v>31319.030406380094</v>
          </cell>
        </row>
        <row r="59">
          <cell r="C59">
            <v>19542.284976413466</v>
          </cell>
        </row>
        <row r="60">
          <cell r="C60">
            <v>686464.48184679728</v>
          </cell>
        </row>
        <row r="62">
          <cell r="C62">
            <v>0</v>
          </cell>
        </row>
      </sheetData>
      <sheetData sheetId="9"/>
      <sheetData sheetId="10"/>
      <sheetData sheetId="11">
        <row r="9">
          <cell r="C9">
            <v>34447.264334415187</v>
          </cell>
        </row>
        <row r="10">
          <cell r="C10">
            <v>0</v>
          </cell>
        </row>
        <row r="14">
          <cell r="C14">
            <v>85913.740834730284</v>
          </cell>
        </row>
        <row r="15">
          <cell r="C15">
            <v>177815.69356867092</v>
          </cell>
        </row>
        <row r="16">
          <cell r="C16">
            <v>10692.471046110064</v>
          </cell>
        </row>
        <row r="17">
          <cell r="C17">
            <v>24233.969746092149</v>
          </cell>
        </row>
        <row r="18">
          <cell r="C18">
            <v>10898.401562902021</v>
          </cell>
        </row>
        <row r="19">
          <cell r="C19">
            <v>37504.61643188091</v>
          </cell>
        </row>
        <row r="20">
          <cell r="C20">
            <v>47070.818656700096</v>
          </cell>
        </row>
        <row r="21">
          <cell r="C21">
            <v>2506.1519962328466</v>
          </cell>
        </row>
        <row r="23">
          <cell r="C23">
            <v>-210.71598082279425</v>
          </cell>
        </row>
        <row r="24">
          <cell r="C24">
            <v>5552.9712</v>
          </cell>
        </row>
        <row r="26">
          <cell r="C26">
            <v>-993.83126820000018</v>
          </cell>
        </row>
        <row r="30">
          <cell r="C30">
            <v>29700.042325640265</v>
          </cell>
        </row>
        <row r="31">
          <cell r="C31">
            <v>30990.839283231471</v>
          </cell>
        </row>
        <row r="32">
          <cell r="C32">
            <v>-19248.794326206436</v>
          </cell>
        </row>
        <row r="33">
          <cell r="C33">
            <v>-10713.715023586534</v>
          </cell>
        </row>
        <row r="34">
          <cell r="C34">
            <v>-3069.7733522634367</v>
          </cell>
        </row>
        <row r="35">
          <cell r="C35">
            <v>-2422.9670628336635</v>
          </cell>
        </row>
        <row r="39">
          <cell r="C39">
            <v>-18210.618068363299</v>
          </cell>
        </row>
        <row r="40">
          <cell r="C40">
            <v>-28003.109959431989</v>
          </cell>
        </row>
        <row r="44">
          <cell r="C44">
            <v>-110577.65137370581</v>
          </cell>
        </row>
        <row r="45">
          <cell r="C45">
            <v>0</v>
          </cell>
        </row>
        <row r="46">
          <cell r="C46">
            <v>0</v>
          </cell>
        </row>
        <row r="48">
          <cell r="C48">
            <v>1601.8254163921549</v>
          </cell>
        </row>
        <row r="50">
          <cell r="C50">
            <v>4087.9561097798055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-55.831858328696548</v>
          </cell>
        </row>
        <row r="55">
          <cell r="C55">
            <v>0.42679826257284503</v>
          </cell>
        </row>
        <row r="56">
          <cell r="C56">
            <v>0</v>
          </cell>
        </row>
        <row r="57">
          <cell r="C57">
            <v>-197.73165014548391</v>
          </cell>
        </row>
        <row r="63">
          <cell r="C63">
            <v>-89519.54425676119</v>
          </cell>
        </row>
        <row r="64">
          <cell r="C64">
            <v>11882.550546522734</v>
          </cell>
        </row>
        <row r="65">
          <cell r="C65">
            <v>-15224.3694068236</v>
          </cell>
        </row>
        <row r="66">
          <cell r="C66">
            <v>8140.7579999999998</v>
          </cell>
        </row>
        <row r="67">
          <cell r="C67">
            <v>-153345.73280707514</v>
          </cell>
        </row>
        <row r="68">
          <cell r="C68">
            <v>0</v>
          </cell>
        </row>
        <row r="69">
          <cell r="C69">
            <v>-880.70505709627434</v>
          </cell>
        </row>
        <row r="70">
          <cell r="C70"/>
        </row>
        <row r="77">
          <cell r="C77">
            <v>-9604.6349851951018</v>
          </cell>
        </row>
        <row r="78">
          <cell r="C78">
            <v>502573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Dec YTD'25 Exc Info"/>
      <sheetName val="Dec YTD 25 Package-AED  Exc Inf"/>
      <sheetName val="IS package 4th Qrt'25 Exc Info"/>
      <sheetName val="4th Qrt 25 Package-AED  Exc Inf"/>
      <sheetName val="Comprehensive Income Dec YTD'25"/>
      <sheetName val="Comprehensive Income 4th Qrt'25"/>
      <sheetName val="Changes in Equity 4thQrt'25"/>
      <sheetName val="Provisions"/>
      <sheetName val="B.S PJSC"/>
      <sheetName val="W.P PJSC"/>
      <sheetName val="PJSC Detailed C.F 4th Qrt'25"/>
      <sheetName val="CF Working"/>
      <sheetName val="C.F Final as Financials"/>
      <sheetName val="Sheet PJSC"/>
      <sheetName val="Sheet Info"/>
      <sheetName val="Cash disclosure"/>
      <sheetName val="Deposits Dec'25"/>
      <sheetName val="Deposits Sep'22"/>
      <sheetName val="OCI movement"/>
      <sheetName val="MYUS opening balance"/>
      <sheetName val="Working capital per segement"/>
    </sheetNames>
    <sheetDataSet>
      <sheetData sheetId="0">
        <row r="12">
          <cell r="C12">
            <v>6359945.6111120367</v>
          </cell>
        </row>
        <row r="13">
          <cell r="C13">
            <v>-4910477.7764153611</v>
          </cell>
        </row>
        <row r="15">
          <cell r="C15">
            <v>-347782.67318944866</v>
          </cell>
        </row>
        <row r="16">
          <cell r="C16">
            <v>-18392.462621984636</v>
          </cell>
        </row>
        <row r="17">
          <cell r="C17">
            <v>18.966284297208315</v>
          </cell>
        </row>
        <row r="18">
          <cell r="C18">
            <v>-905382.87846791383</v>
          </cell>
        </row>
        <row r="20">
          <cell r="C20">
            <v>14782.099653370962</v>
          </cell>
        </row>
        <row r="22">
          <cell r="C22">
            <v>-19897.288219571998</v>
          </cell>
        </row>
        <row r="23">
          <cell r="C23">
            <v>6597.6827475578202</v>
          </cell>
        </row>
        <row r="24">
          <cell r="C24">
            <v>-118639.96998494084</v>
          </cell>
        </row>
        <row r="25">
          <cell r="C25">
            <v>-4830.8165636799467</v>
          </cell>
        </row>
        <row r="27">
          <cell r="C27">
            <v>-35072.324922580818</v>
          </cell>
        </row>
        <row r="31">
          <cell r="C31">
            <v>0</v>
          </cell>
        </row>
        <row r="32">
          <cell r="C32">
            <v>0</v>
          </cell>
        </row>
        <row r="37">
          <cell r="C37">
            <v>20582.171082293069</v>
          </cell>
        </row>
        <row r="38">
          <cell r="C38">
            <v>0</v>
          </cell>
        </row>
        <row r="41">
          <cell r="C41">
            <v>285.99832948911882</v>
          </cell>
        </row>
      </sheetData>
      <sheetData sheetId="1"/>
      <sheetData sheetId="2">
        <row r="12">
          <cell r="C12">
            <v>1700164.750896808</v>
          </cell>
        </row>
        <row r="13">
          <cell r="C13">
            <v>-1314902.8152304769</v>
          </cell>
        </row>
        <row r="15">
          <cell r="C15">
            <v>-90118.980866873666</v>
          </cell>
        </row>
        <row r="16">
          <cell r="C16">
            <v>-7493.6342608200157</v>
          </cell>
        </row>
        <row r="17">
          <cell r="C17">
            <v>18.539486034619117</v>
          </cell>
        </row>
        <row r="18">
          <cell r="C18">
            <v>-237091.34366044871</v>
          </cell>
        </row>
        <row r="19">
          <cell r="C19">
            <v>0</v>
          </cell>
        </row>
        <row r="20">
          <cell r="C20">
            <v>976.71577496956843</v>
          </cell>
        </row>
        <row r="22">
          <cell r="C22">
            <v>-268.48542300000003</v>
          </cell>
        </row>
        <row r="23">
          <cell r="C23">
            <v>2509.7266377780097</v>
          </cell>
        </row>
        <row r="24">
          <cell r="C24">
            <v>-29976.578786580059</v>
          </cell>
        </row>
        <row r="25">
          <cell r="C25">
            <v>-2324.6645674470992</v>
          </cell>
        </row>
        <row r="27">
          <cell r="C27">
            <v>-14051.075848164955</v>
          </cell>
        </row>
        <row r="31">
          <cell r="C31">
            <v>0</v>
          </cell>
        </row>
        <row r="32">
          <cell r="C32">
            <v>0</v>
          </cell>
        </row>
        <row r="37">
          <cell r="C37">
            <v>7516.5128900265181</v>
          </cell>
        </row>
        <row r="38">
          <cell r="C38">
            <v>0</v>
          </cell>
        </row>
        <row r="41">
          <cell r="C41">
            <v>-74.358738246791503</v>
          </cell>
        </row>
      </sheetData>
      <sheetData sheetId="3"/>
      <sheetData sheetId="4"/>
      <sheetData sheetId="5"/>
      <sheetData sheetId="6"/>
      <sheetData sheetId="7"/>
      <sheetData sheetId="8">
        <row r="10">
          <cell r="C10">
            <v>892688.08184704103</v>
          </cell>
        </row>
        <row r="11">
          <cell r="C11">
            <v>890118.74290137191</v>
          </cell>
        </row>
        <row r="12">
          <cell r="C12">
            <v>1754255.8030448367</v>
          </cell>
        </row>
        <row r="13">
          <cell r="C13">
            <v>294694.33176294487</v>
          </cell>
        </row>
        <row r="14">
          <cell r="C14">
            <v>27213.617385190057</v>
          </cell>
        </row>
        <row r="15">
          <cell r="C15">
            <v>4834.9127219167094</v>
          </cell>
        </row>
        <row r="16">
          <cell r="C16">
            <v>44609.371950641507</v>
          </cell>
        </row>
        <row r="17">
          <cell r="C17">
            <v>12273.535754010651</v>
          </cell>
        </row>
        <row r="21">
          <cell r="C21">
            <v>1109344.3947694914</v>
          </cell>
        </row>
        <row r="22">
          <cell r="C22">
            <v>0</v>
          </cell>
        </row>
        <row r="23">
          <cell r="C23">
            <v>293705.73628095462</v>
          </cell>
        </row>
        <row r="24">
          <cell r="C24">
            <v>7583.2915177995365</v>
          </cell>
        </row>
        <row r="25">
          <cell r="C25">
            <v>565538.15154701751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519647.68994657637</v>
          </cell>
        </row>
        <row r="35">
          <cell r="C35">
            <v>-604496.30703518388</v>
          </cell>
        </row>
        <row r="36">
          <cell r="C36">
            <v>-336985.87682925095</v>
          </cell>
        </row>
        <row r="37">
          <cell r="C37">
            <v>-23351.044967233611</v>
          </cell>
        </row>
        <row r="38">
          <cell r="C38">
            <v>1538254.6388849262</v>
          </cell>
        </row>
        <row r="40">
          <cell r="C40">
            <v>2557169.1004902348</v>
          </cell>
        </row>
        <row r="41">
          <cell r="C41">
            <v>5831.7064648237174</v>
          </cell>
        </row>
        <row r="46">
          <cell r="C46">
            <v>911849.97891473642</v>
          </cell>
        </row>
        <row r="47">
          <cell r="C47">
            <v>814608.47636688594</v>
          </cell>
        </row>
        <row r="48">
          <cell r="C48">
            <v>209922.78422522929</v>
          </cell>
        </row>
        <row r="49">
          <cell r="C49">
            <v>43385.331302766615</v>
          </cell>
        </row>
        <row r="50">
          <cell r="C50">
            <v>8397.286631443214</v>
          </cell>
        </row>
        <row r="54">
          <cell r="C54">
            <v>375925.75390596857</v>
          </cell>
        </row>
        <row r="55">
          <cell r="C55">
            <v>192419.17249572871</v>
          </cell>
        </row>
        <row r="56">
          <cell r="C56">
            <v>2773.2912853022258</v>
          </cell>
        </row>
        <row r="57">
          <cell r="C57">
            <v>26746.38091561287</v>
          </cell>
        </row>
        <row r="58">
          <cell r="C58">
            <v>41045.435708143799</v>
          </cell>
        </row>
        <row r="59">
          <cell r="C59">
            <v>23137.668592681079</v>
          </cell>
        </row>
        <row r="60">
          <cell r="C60">
            <v>683647.29290677386</v>
          </cell>
        </row>
        <row r="62">
          <cell r="C62">
            <v>0</v>
          </cell>
        </row>
      </sheetData>
      <sheetData sheetId="9"/>
      <sheetData sheetId="10"/>
      <sheetData sheetId="11"/>
      <sheetData sheetId="12">
        <row r="9">
          <cell r="C9">
            <v>55940.494334361814</v>
          </cell>
        </row>
        <row r="10">
          <cell r="C10">
            <v>0</v>
          </cell>
        </row>
        <row r="14">
          <cell r="C14">
            <v>119833.70353155797</v>
          </cell>
        </row>
        <row r="15">
          <cell r="C15">
            <v>242159.44467961942</v>
          </cell>
        </row>
        <row r="16">
          <cell r="C16">
            <v>14244.264767390483</v>
          </cell>
        </row>
        <row r="17">
          <cell r="C17">
            <v>35531.310557546603</v>
          </cell>
        </row>
        <row r="18">
          <cell r="C18">
            <v>18373.496337687429</v>
          </cell>
        </row>
        <row r="19">
          <cell r="C19">
            <v>48044.925996707963</v>
          </cell>
        </row>
        <row r="20">
          <cell r="C20">
            <v>63997.361240675062</v>
          </cell>
        </row>
        <row r="21">
          <cell r="C21">
            <v>4830.8165636799467</v>
          </cell>
        </row>
        <row r="22">
          <cell r="C22">
            <v>2567.4265175999999</v>
          </cell>
        </row>
        <row r="23">
          <cell r="C23">
            <v>-67.090592157747125</v>
          </cell>
        </row>
        <row r="24">
          <cell r="C24">
            <v>5552.9712</v>
          </cell>
        </row>
        <row r="26">
          <cell r="C26">
            <v>-1466.848118868</v>
          </cell>
        </row>
        <row r="27">
          <cell r="C27">
            <v>-9951.6148391999996</v>
          </cell>
        </row>
        <row r="30">
          <cell r="C30">
            <v>-22892.857391476031</v>
          </cell>
        </row>
        <row r="31">
          <cell r="C31">
            <v>44865.753905968566</v>
          </cell>
        </row>
        <row r="32">
          <cell r="C32">
            <v>-4555.2049146679656</v>
          </cell>
        </row>
        <row r="33">
          <cell r="C33">
            <v>-7118.3314073189213</v>
          </cell>
        </row>
        <row r="34">
          <cell r="C34">
            <v>-5047.9867466316591</v>
          </cell>
        </row>
        <row r="35">
          <cell r="C35">
            <v>-1389.0378187398001</v>
          </cell>
        </row>
        <row r="39">
          <cell r="C39">
            <v>-26441.175443665754</v>
          </cell>
        </row>
        <row r="40">
          <cell r="C40">
            <v>-29961.795116484343</v>
          </cell>
        </row>
        <row r="44">
          <cell r="C44">
            <v>-148638.202267474</v>
          </cell>
        </row>
        <row r="45">
          <cell r="C45">
            <v>-2994.8752436647178</v>
          </cell>
        </row>
        <row r="46">
          <cell r="C46">
            <v>-1.5721821573606576E-3</v>
          </cell>
        </row>
        <row r="48">
          <cell r="C48">
            <v>3354.2542908514365</v>
          </cell>
        </row>
        <row r="50">
          <cell r="C50">
            <v>5375.8601439578197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184.99144383780001</v>
          </cell>
        </row>
        <row r="54">
          <cell r="C54">
            <v>475.24632817092123</v>
          </cell>
        </row>
        <row r="55">
          <cell r="C55">
            <v>18.966284296431382</v>
          </cell>
        </row>
        <row r="56">
          <cell r="C56">
            <v>0</v>
          </cell>
        </row>
        <row r="57">
          <cell r="C57">
            <v>-1441.5314138363715</v>
          </cell>
        </row>
        <row r="63">
          <cell r="C63">
            <v>-120335.09858899642</v>
          </cell>
        </row>
        <row r="64">
          <cell r="C64">
            <v>14208.795628665926</v>
          </cell>
        </row>
        <row r="65">
          <cell r="C65">
            <v>-32918.65562348091</v>
          </cell>
        </row>
        <row r="66">
          <cell r="C66">
            <v>10412.325000000001</v>
          </cell>
        </row>
        <row r="67">
          <cell r="C67">
            <v>-207228.72385374998</v>
          </cell>
        </row>
        <row r="68">
          <cell r="C68">
            <v>0</v>
          </cell>
        </row>
        <row r="69">
          <cell r="C69">
            <v>-879.7721838786465</v>
          </cell>
        </row>
        <row r="77">
          <cell r="C77">
            <v>-6451.8003998931281</v>
          </cell>
        </row>
        <row r="78">
          <cell r="C78">
            <v>502573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EX "/>
    </sheetNames>
    <sheetDataSet>
      <sheetData sheetId="0">
        <row r="16">
          <cell r="D16">
            <v>35315.843499867668</v>
          </cell>
          <cell r="E16">
            <v>35008.361944167016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er Product-22 Vs 21"/>
      <sheetName val="Summary Per Product-22 Vs 21Org"/>
      <sheetName val="Sum Per Produc-22 Vs 21 Express"/>
      <sheetName val="Sum Per Produc-22 Vs 21 Exp Org"/>
      <sheetName val="Sum Per Product Act Vs bud22"/>
      <sheetName val="Sum Per Product Act Vs bud org"/>
      <sheetName val="Summary Per Product (Courrier)"/>
      <sheetName val="Summary Per Product-2022"/>
      <sheetName val="Summary Per Product-2021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South Asia"/>
      <sheetName val="North Asia"/>
      <sheetName val="Ocean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LOS"/>
      <sheetName val="ACC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SMC"/>
      <sheetName val="DXB"/>
      <sheetName val="AUH"/>
      <sheetName val="MCT"/>
      <sheetName val="BAH"/>
      <sheetName val="KWI"/>
      <sheetName val="IFK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5">
          <cell r="C5">
            <v>1019868.1390494624</v>
          </cell>
          <cell r="H5">
            <v>458633.00239735813</v>
          </cell>
          <cell r="M5">
            <v>122476.53012640019</v>
          </cell>
        </row>
        <row r="9">
          <cell r="C9">
            <v>724813.47140562558</v>
          </cell>
          <cell r="H9">
            <v>395273.90009422728</v>
          </cell>
          <cell r="M9">
            <v>103681.56048846676</v>
          </cell>
        </row>
        <row r="15">
          <cell r="C15">
            <v>257344.80687866514</v>
          </cell>
          <cell r="H15">
            <v>42235.991613607628</v>
          </cell>
          <cell r="M15">
            <v>16092.512094511841</v>
          </cell>
        </row>
        <row r="21">
          <cell r="C21">
            <v>38798.969016576819</v>
          </cell>
          <cell r="H21">
            <v>19566.887922749687</v>
          </cell>
          <cell r="M21">
            <v>2490.6652181017025</v>
          </cell>
        </row>
        <row r="31">
          <cell r="C31">
            <v>106857.34511082739</v>
          </cell>
          <cell r="H31">
            <v>27532.053785045009</v>
          </cell>
          <cell r="M31">
            <v>26467.022721391466</v>
          </cell>
        </row>
      </sheetData>
      <sheetData sheetId="1"/>
      <sheetData sheetId="2">
        <row r="5">
          <cell r="C5">
            <v>507156.22997626459</v>
          </cell>
          <cell r="H5">
            <v>105185.18129489597</v>
          </cell>
          <cell r="M5">
            <v>407526.72777830198</v>
          </cell>
        </row>
        <row r="9">
          <cell r="C9">
            <v>378571.04044894507</v>
          </cell>
          <cell r="H9">
            <v>39540.5146549649</v>
          </cell>
          <cell r="M9">
            <v>306701.91308171564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er Product-23 Vs 22"/>
      <sheetName val="Summary Per Product-23 Vs 22Org"/>
      <sheetName val="Sum Per Produc-23 Vs 22 Express"/>
      <sheetName val="Sum Per Produc-23 Vs 22 Exp Org"/>
      <sheetName val="Sum Per Product Act Vs bud23"/>
      <sheetName val="Sum Per Product Act Vs bud org"/>
      <sheetName val="Sum Per Pro-23 Vs Bud Express"/>
      <sheetName val="Sum Vs Bud org Express"/>
      <sheetName val="Summary Per Product-2023"/>
      <sheetName val="Summary Per Product (Courier)"/>
      <sheetName val="Summary Per Product-2022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South Asia"/>
      <sheetName val="North Asia"/>
      <sheetName val="Ocean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LOS"/>
      <sheetName val="ACC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SMC"/>
      <sheetName val="DXB"/>
      <sheetName val="AUH"/>
      <sheetName val="MCT"/>
      <sheetName val="BAH"/>
      <sheetName val="KWI"/>
      <sheetName val="IFK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>
        <row r="5">
          <cell r="C5">
            <v>277069.17126522231</v>
          </cell>
        </row>
        <row r="9">
          <cell r="C9">
            <v>194281.58529348005</v>
          </cell>
        </row>
        <row r="15">
          <cell r="C15">
            <v>63571.760090458964</v>
          </cell>
        </row>
        <row r="18">
          <cell r="C18">
            <v>19985.173051549893</v>
          </cell>
        </row>
        <row r="22">
          <cell r="C22">
            <v>36382.353702548869</v>
          </cell>
        </row>
      </sheetData>
      <sheetData sheetId="1" refreshError="1"/>
      <sheetData sheetId="2">
        <row r="5">
          <cell r="C5">
            <v>138651.50819691134</v>
          </cell>
          <cell r="H5">
            <v>39924.618888135956</v>
          </cell>
          <cell r="M5">
            <v>98493.04418017494</v>
          </cell>
          <cell r="R5">
            <v>104535.36682249529</v>
          </cell>
          <cell r="W5">
            <v>30183.962709052266</v>
          </cell>
          <cell r="AB5">
            <v>3178.8125247921926</v>
          </cell>
        </row>
        <row r="9">
          <cell r="C9">
            <v>96663.7530617468</v>
          </cell>
          <cell r="H9">
            <v>20481.433472283075</v>
          </cell>
          <cell r="M9">
            <v>77136.398759450152</v>
          </cell>
          <cell r="R9">
            <v>90030.02568641174</v>
          </cell>
          <cell r="W9">
            <v>24430.264711285574</v>
          </cell>
        </row>
        <row r="11">
          <cell r="AB11">
            <v>2798.6286211997731</v>
          </cell>
        </row>
        <row r="15">
          <cell r="R15">
            <v>11675.869382600202</v>
          </cell>
          <cell r="W15">
            <v>3937.5354285816156</v>
          </cell>
        </row>
        <row r="18">
          <cell r="R18">
            <v>2876.387189923521</v>
          </cell>
          <cell r="W18">
            <v>4637.8462319701903</v>
          </cell>
          <cell r="AB18">
            <v>1415.1020145123523</v>
          </cell>
        </row>
        <row r="22">
          <cell r="R22">
            <v>4988.3234680195583</v>
          </cell>
          <cell r="W22">
            <v>10896.855818032403</v>
          </cell>
          <cell r="AB22">
            <v>1484.3428779858789</v>
          </cell>
        </row>
      </sheetData>
      <sheetData sheetId="3">
        <row r="5">
          <cell r="C5">
            <v>138651.50819691134</v>
          </cell>
        </row>
      </sheetData>
      <sheetData sheetId="4" refreshError="1"/>
      <sheetData sheetId="5" refreshError="1"/>
      <sheetData sheetId="6">
        <row r="5">
          <cell r="C5">
            <v>138651.50819691134</v>
          </cell>
        </row>
      </sheetData>
      <sheetData sheetId="7">
        <row r="5">
          <cell r="D5">
            <v>155011.58627299755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  <sheetName val="Summary Per Product-23 Vs 22"/>
    </sheetNames>
    <sheetDataSet>
      <sheetData sheetId="0"/>
      <sheetData sheetId="1">
        <row r="4">
          <cell r="C4"/>
        </row>
        <row r="5">
          <cell r="C5">
            <v>279368.72731729213</v>
          </cell>
        </row>
        <row r="9">
          <cell r="C9">
            <v>193885.16547505738</v>
          </cell>
        </row>
        <row r="15">
          <cell r="C15">
            <v>65171.634319815756</v>
          </cell>
        </row>
        <row r="18">
          <cell r="C18">
            <v>21439.245537601393</v>
          </cell>
        </row>
        <row r="22">
          <cell r="C22">
            <v>37282.421737888712</v>
          </cell>
        </row>
      </sheetData>
      <sheetData sheetId="2"/>
      <sheetData sheetId="3">
        <row r="5">
          <cell r="C5">
            <v>138822.73824900764</v>
          </cell>
          <cell r="H5">
            <v>37021.40207346838</v>
          </cell>
          <cell r="M5">
            <v>103524.58699481611</v>
          </cell>
          <cell r="R5">
            <v>108517.03238421441</v>
          </cell>
          <cell r="W5">
            <v>29026.662530374124</v>
          </cell>
          <cell r="AB5">
            <v>2599.8191962574256</v>
          </cell>
        </row>
        <row r="9">
          <cell r="C9">
            <v>97855.094204700552</v>
          </cell>
          <cell r="H9">
            <v>18319.566467230543</v>
          </cell>
          <cell r="M9">
            <v>77710.502793126259</v>
          </cell>
          <cell r="R9">
            <v>93122.703572976287</v>
          </cell>
          <cell r="W9">
            <v>24580.089796379045</v>
          </cell>
        </row>
        <row r="11">
          <cell r="AB11">
            <v>2337.8547583233913</v>
          </cell>
        </row>
        <row r="15">
          <cell r="R15">
            <v>11969.689603306744</v>
          </cell>
          <cell r="W15">
            <v>4171.8900745268202</v>
          </cell>
        </row>
        <row r="18">
          <cell r="R18">
            <v>3401.8405437409883</v>
          </cell>
          <cell r="W18">
            <v>-354.27545927675601</v>
          </cell>
          <cell r="AB18">
            <v>674.33778656624168</v>
          </cell>
        </row>
        <row r="22">
          <cell r="R22">
            <v>5365.0303975135512</v>
          </cell>
          <cell r="W22">
            <v>5891.2030876335984</v>
          </cell>
          <cell r="AB22">
            <v>792.61253972622285</v>
          </cell>
        </row>
      </sheetData>
      <sheetData sheetId="4"/>
      <sheetData sheetId="5"/>
      <sheetData sheetId="6"/>
      <sheetData sheetId="7">
        <row r="5">
          <cell r="D5">
            <v>112980.77020850949</v>
          </cell>
        </row>
      </sheetData>
      <sheetData sheetId="8"/>
      <sheetData sheetId="9"/>
      <sheetData sheetId="10"/>
      <sheetData sheetId="11"/>
      <sheetData sheetId="12">
        <row r="29">
          <cell r="C29">
            <v>899479.67877033388</v>
          </cell>
        </row>
      </sheetData>
      <sheetData sheetId="13"/>
      <sheetData sheetId="14">
        <row r="16">
          <cell r="C16">
            <v>11040222.98193126</v>
          </cell>
        </row>
      </sheetData>
      <sheetData sheetId="15">
        <row r="42">
          <cell r="C42">
            <v>2528241.3181367712</v>
          </cell>
        </row>
      </sheetData>
      <sheetData sheetId="16">
        <row r="42">
          <cell r="D42">
            <v>2350334.3099999996</v>
          </cell>
        </row>
      </sheetData>
      <sheetData sheetId="17">
        <row r="42">
          <cell r="D42">
            <v>14726236.610000014</v>
          </cell>
        </row>
      </sheetData>
      <sheetData sheetId="18">
        <row r="42">
          <cell r="D42">
            <v>-24509.964208247868</v>
          </cell>
        </row>
      </sheetData>
      <sheetData sheetId="19">
        <row r="42">
          <cell r="D42">
            <v>15926.769999999999</v>
          </cell>
        </row>
      </sheetData>
      <sheetData sheetId="20">
        <row r="42">
          <cell r="D42">
            <v>-3.9400000000000013</v>
          </cell>
        </row>
      </sheetData>
      <sheetData sheetId="21">
        <row r="42">
          <cell r="D42">
            <v>6462743.4488151968</v>
          </cell>
        </row>
      </sheetData>
      <sheetData sheetId="22">
        <row r="42">
          <cell r="D42">
            <v>98819.019999999902</v>
          </cell>
        </row>
      </sheetData>
      <sheetData sheetId="23"/>
      <sheetData sheetId="24">
        <row r="4">
          <cell r="C4">
            <v>2175169.79</v>
          </cell>
        </row>
      </sheetData>
      <sheetData sheetId="25">
        <row r="4">
          <cell r="C4">
            <v>0</v>
          </cell>
        </row>
      </sheetData>
      <sheetData sheetId="26">
        <row r="4">
          <cell r="C4">
            <v>0</v>
          </cell>
        </row>
      </sheetData>
      <sheetData sheetId="27">
        <row r="4">
          <cell r="C4">
            <v>0</v>
          </cell>
        </row>
      </sheetData>
      <sheetData sheetId="28">
        <row r="4">
          <cell r="C4">
            <v>92393.83</v>
          </cell>
        </row>
      </sheetData>
      <sheetData sheetId="29">
        <row r="4">
          <cell r="C4">
            <v>31340.32</v>
          </cell>
        </row>
      </sheetData>
      <sheetData sheetId="30">
        <row r="4">
          <cell r="C4">
            <v>1138523.74</v>
          </cell>
        </row>
      </sheetData>
      <sheetData sheetId="31">
        <row r="4">
          <cell r="C4">
            <v>209617.83000000002</v>
          </cell>
        </row>
      </sheetData>
      <sheetData sheetId="32">
        <row r="4">
          <cell r="C4">
            <v>119165.14</v>
          </cell>
        </row>
      </sheetData>
      <sheetData sheetId="33">
        <row r="4">
          <cell r="C4">
            <v>32383.620000000003</v>
          </cell>
        </row>
      </sheetData>
      <sheetData sheetId="34">
        <row r="4">
          <cell r="C4">
            <v>3506408.1</v>
          </cell>
        </row>
      </sheetData>
      <sheetData sheetId="35">
        <row r="4">
          <cell r="C4">
            <v>34425.89</v>
          </cell>
        </row>
      </sheetData>
      <sheetData sheetId="36">
        <row r="4">
          <cell r="C4">
            <v>154613.4</v>
          </cell>
        </row>
      </sheetData>
      <sheetData sheetId="37">
        <row r="4">
          <cell r="C4">
            <v>211530.93000000002</v>
          </cell>
        </row>
      </sheetData>
      <sheetData sheetId="38">
        <row r="4">
          <cell r="C4">
            <v>468109.56999999995</v>
          </cell>
        </row>
      </sheetData>
      <sheetData sheetId="39"/>
      <sheetData sheetId="40">
        <row r="4">
          <cell r="C4">
            <v>927977.14999999991</v>
          </cell>
        </row>
      </sheetData>
      <sheetData sheetId="41">
        <row r="4">
          <cell r="C4">
            <v>0</v>
          </cell>
        </row>
      </sheetData>
      <sheetData sheetId="42">
        <row r="4">
          <cell r="C4">
            <v>125689.85</v>
          </cell>
        </row>
      </sheetData>
      <sheetData sheetId="43"/>
      <sheetData sheetId="44">
        <row r="4">
          <cell r="C4">
            <v>1176.83</v>
          </cell>
        </row>
      </sheetData>
      <sheetData sheetId="45">
        <row r="4">
          <cell r="C4">
            <v>17543.11</v>
          </cell>
        </row>
      </sheetData>
      <sheetData sheetId="46">
        <row r="4">
          <cell r="C4">
            <v>0</v>
          </cell>
        </row>
      </sheetData>
      <sheetData sheetId="47">
        <row r="4">
          <cell r="C4">
            <v>127678.76</v>
          </cell>
        </row>
      </sheetData>
      <sheetData sheetId="48">
        <row r="4">
          <cell r="C4">
            <v>81981.52</v>
          </cell>
        </row>
      </sheetData>
      <sheetData sheetId="49">
        <row r="4">
          <cell r="C4">
            <v>1598488.54</v>
          </cell>
        </row>
      </sheetData>
      <sheetData sheetId="50">
        <row r="4">
          <cell r="C4">
            <v>0</v>
          </cell>
        </row>
      </sheetData>
      <sheetData sheetId="51">
        <row r="4">
          <cell r="C4">
            <v>0</v>
          </cell>
        </row>
      </sheetData>
      <sheetData sheetId="52">
        <row r="4">
          <cell r="C4">
            <v>271760.43</v>
          </cell>
        </row>
      </sheetData>
      <sheetData sheetId="53">
        <row r="4">
          <cell r="C4">
            <v>8218067.6800000006</v>
          </cell>
        </row>
      </sheetData>
      <sheetData sheetId="54">
        <row r="4">
          <cell r="C4">
            <v>29838258.710000001</v>
          </cell>
        </row>
      </sheetData>
      <sheetData sheetId="55">
        <row r="4">
          <cell r="C4">
            <v>13979521.4</v>
          </cell>
        </row>
      </sheetData>
      <sheetData sheetId="56">
        <row r="4">
          <cell r="C4">
            <v>11904467.24</v>
          </cell>
        </row>
      </sheetData>
      <sheetData sheetId="57">
        <row r="4">
          <cell r="C4">
            <v>3954270.0700000003</v>
          </cell>
        </row>
      </sheetData>
      <sheetData sheetId="58">
        <row r="4">
          <cell r="C4">
            <v>0</v>
          </cell>
        </row>
      </sheetData>
      <sheetData sheetId="59">
        <row r="4">
          <cell r="C4">
            <v>0</v>
          </cell>
        </row>
      </sheetData>
      <sheetData sheetId="60"/>
      <sheetData sheetId="61">
        <row r="4">
          <cell r="C4">
            <v>7598507.7199999997</v>
          </cell>
        </row>
      </sheetData>
      <sheetData sheetId="62">
        <row r="4">
          <cell r="C4">
            <v>4391122.66</v>
          </cell>
        </row>
      </sheetData>
      <sheetData sheetId="63">
        <row r="4">
          <cell r="C4">
            <v>308658.02</v>
          </cell>
        </row>
      </sheetData>
      <sheetData sheetId="64"/>
      <sheetData sheetId="65">
        <row r="4">
          <cell r="C4">
            <v>603201.31000000006</v>
          </cell>
        </row>
      </sheetData>
      <sheetData sheetId="66"/>
      <sheetData sheetId="67">
        <row r="4">
          <cell r="C4">
            <v>431510.61000000004</v>
          </cell>
        </row>
      </sheetData>
      <sheetData sheetId="68">
        <row r="4">
          <cell r="C4">
            <v>0</v>
          </cell>
        </row>
      </sheetData>
      <sheetData sheetId="69">
        <row r="4">
          <cell r="C4">
            <v>0</v>
          </cell>
        </row>
      </sheetData>
      <sheetData sheetId="70">
        <row r="4">
          <cell r="C4">
            <v>0</v>
          </cell>
        </row>
      </sheetData>
      <sheetData sheetId="71"/>
      <sheetData sheetId="72">
        <row r="4">
          <cell r="C4">
            <v>79718.37999999999</v>
          </cell>
        </row>
      </sheetData>
      <sheetData sheetId="73">
        <row r="4">
          <cell r="C4">
            <v>671.30000000000007</v>
          </cell>
        </row>
      </sheetData>
      <sheetData sheetId="74">
        <row r="4">
          <cell r="C4">
            <v>0</v>
          </cell>
        </row>
      </sheetData>
      <sheetData sheetId="75"/>
      <sheetData sheetId="76"/>
      <sheetData sheetId="77">
        <row r="4">
          <cell r="C4">
            <v>1193.335216176265</v>
          </cell>
        </row>
      </sheetData>
      <sheetData sheetId="78"/>
      <sheetData sheetId="79">
        <row r="4">
          <cell r="C4">
            <v>13482</v>
          </cell>
        </row>
      </sheetData>
      <sheetData sheetId="80">
        <row r="4">
          <cell r="C4">
            <v>0</v>
          </cell>
        </row>
      </sheetData>
      <sheetData sheetId="81">
        <row r="4">
          <cell r="C4">
            <v>0</v>
          </cell>
        </row>
      </sheetData>
      <sheetData sheetId="82">
        <row r="4">
          <cell r="C4">
            <v>16409.39</v>
          </cell>
        </row>
      </sheetData>
      <sheetData sheetId="83">
        <row r="4">
          <cell r="C4">
            <v>0</v>
          </cell>
        </row>
      </sheetData>
      <sheetData sheetId="84">
        <row r="4">
          <cell r="C4">
            <v>0</v>
          </cell>
        </row>
      </sheetData>
      <sheetData sheetId="85">
        <row r="4">
          <cell r="C4">
            <v>25971.35</v>
          </cell>
        </row>
      </sheetData>
      <sheetData sheetId="86">
        <row r="4">
          <cell r="C4">
            <v>0</v>
          </cell>
        </row>
      </sheetData>
      <sheetData sheetId="87">
        <row r="4">
          <cell r="C4">
            <v>6.41</v>
          </cell>
        </row>
      </sheetData>
      <sheetData sheetId="88">
        <row r="4">
          <cell r="C4">
            <v>45829.22</v>
          </cell>
        </row>
      </sheetData>
      <sheetData sheetId="89">
        <row r="4">
          <cell r="C4">
            <v>489121.95999999996</v>
          </cell>
        </row>
      </sheetData>
      <sheetData sheetId="90">
        <row r="4">
          <cell r="C4">
            <v>243510.11</v>
          </cell>
        </row>
      </sheetData>
      <sheetData sheetId="91">
        <row r="4">
          <cell r="C4">
            <v>14836588.306633146</v>
          </cell>
        </row>
      </sheetData>
      <sheetData sheetId="92">
        <row r="4">
          <cell r="C4">
            <v>25857162.992952488</v>
          </cell>
        </row>
      </sheetData>
      <sheetData sheetId="93">
        <row r="4">
          <cell r="C4">
            <v>0</v>
          </cell>
        </row>
      </sheetData>
      <sheetData sheetId="94">
        <row r="4">
          <cell r="C4">
            <v>0</v>
          </cell>
        </row>
      </sheetData>
      <sheetData sheetId="95">
        <row r="4">
          <cell r="C4">
            <v>0</v>
          </cell>
        </row>
      </sheetData>
      <sheetData sheetId="96">
        <row r="4">
          <cell r="C4">
            <v>0</v>
          </cell>
        </row>
      </sheetData>
      <sheetData sheetId="97">
        <row r="4">
          <cell r="C4">
            <v>0</v>
          </cell>
        </row>
      </sheetData>
      <sheetData sheetId="98">
        <row r="4">
          <cell r="C4">
            <v>0</v>
          </cell>
        </row>
      </sheetData>
      <sheetData sheetId="99">
        <row r="4">
          <cell r="C4">
            <v>0</v>
          </cell>
        </row>
      </sheetData>
      <sheetData sheetId="100">
        <row r="4">
          <cell r="C4">
            <v>0</v>
          </cell>
        </row>
      </sheetData>
      <sheetData sheetId="101">
        <row r="4">
          <cell r="C4">
            <v>0</v>
          </cell>
        </row>
      </sheetData>
      <sheetData sheetId="102">
        <row r="4">
          <cell r="C4">
            <v>0</v>
          </cell>
        </row>
      </sheetData>
      <sheetData sheetId="103">
        <row r="4">
          <cell r="C4">
            <v>0</v>
          </cell>
        </row>
      </sheetData>
      <sheetData sheetId="104">
        <row r="4">
          <cell r="C4">
            <v>0</v>
          </cell>
        </row>
      </sheetData>
      <sheetData sheetId="105">
        <row r="4">
          <cell r="C4">
            <v>95171</v>
          </cell>
        </row>
      </sheetData>
      <sheetData sheetId="106">
        <row r="4">
          <cell r="C4">
            <v>-895553.81998570682</v>
          </cell>
        </row>
      </sheetData>
      <sheetData sheetId="107"/>
      <sheetData sheetId="10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mmary"/>
      <sheetName val="Chart Analysis"/>
      <sheetName val="data"/>
      <sheetName val="Chart data"/>
    </sheetNames>
    <sheetDataSet>
      <sheetData sheetId="0">
        <row r="30">
          <cell r="C30" t="str">
            <v>U.S Dollars</v>
          </cell>
        </row>
        <row r="33">
          <cell r="B33">
            <v>1</v>
          </cell>
        </row>
        <row r="36">
          <cell r="B36">
            <v>2</v>
          </cell>
        </row>
      </sheetData>
      <sheetData sheetId="1"/>
      <sheetData sheetId="2" refreshError="1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/>
      <sheetData sheetId="1" refreshError="1">
        <row r="5">
          <cell r="C5">
            <v>262858.41802154307</v>
          </cell>
        </row>
        <row r="9">
          <cell r="C9">
            <v>189466.36136942264</v>
          </cell>
        </row>
        <row r="15">
          <cell r="C15">
            <v>65980.393385814474</v>
          </cell>
        </row>
        <row r="18">
          <cell r="C18">
            <v>8328.9491392935906</v>
          </cell>
        </row>
        <row r="22">
          <cell r="C22">
            <v>24134.029439881477</v>
          </cell>
        </row>
      </sheetData>
      <sheetData sheetId="2" refreshError="1"/>
      <sheetData sheetId="3">
        <row r="5">
          <cell r="C5">
            <v>125114.38972115908</v>
          </cell>
          <cell r="H5">
            <v>35344.047997402013</v>
          </cell>
          <cell r="M5">
            <v>102399.98030298199</v>
          </cell>
          <cell r="R5">
            <v>111982.32309227099</v>
          </cell>
          <cell r="W5">
            <v>29317.370305348588</v>
          </cell>
          <cell r="AB5">
            <v>3252.0930234870325</v>
          </cell>
        </row>
        <row r="9">
          <cell r="C9">
            <v>91224.868169146997</v>
          </cell>
          <cell r="H9">
            <v>18015.293110913459</v>
          </cell>
          <cell r="M9">
            <v>80226.200089362188</v>
          </cell>
          <cell r="R9">
            <v>97845.254160187047</v>
          </cell>
          <cell r="W9">
            <v>25952.982977230102</v>
          </cell>
        </row>
        <row r="11">
          <cell r="AB11">
            <v>3081.1344402282075</v>
          </cell>
        </row>
        <row r="15">
          <cell r="R15">
            <v>11391.000303047154</v>
          </cell>
          <cell r="W15">
            <v>3816.6351064377236</v>
          </cell>
        </row>
        <row r="18">
          <cell r="R18">
            <v>3170.8589514411656</v>
          </cell>
          <cell r="W18">
            <v>-405.10530498022371</v>
          </cell>
          <cell r="AB18">
            <v>1692.3518319230943</v>
          </cell>
        </row>
        <row r="22">
          <cell r="R22">
            <v>4993.0574516614952</v>
          </cell>
          <cell r="W22">
            <v>5845.7663060461427</v>
          </cell>
          <cell r="AB22">
            <v>1766.7575694052034</v>
          </cell>
        </row>
      </sheetData>
      <sheetData sheetId="4" refreshError="1"/>
      <sheetData sheetId="5" refreshError="1"/>
      <sheetData sheetId="6" refreshError="1"/>
      <sheetData sheetId="7">
        <row r="5">
          <cell r="D5">
            <v>116504.4293691105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2">
          <cell r="D42">
            <v>6123548.0322039798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/>
      <sheetData sheetId="1" refreshError="1">
        <row r="5">
          <cell r="C5">
            <v>275268.84920073079</v>
          </cell>
        </row>
        <row r="9">
          <cell r="C9">
            <v>197042.61617562245</v>
          </cell>
        </row>
        <row r="15">
          <cell r="C15">
            <v>67248.550559012321</v>
          </cell>
        </row>
        <row r="18">
          <cell r="C18">
            <v>11754.558475360833</v>
          </cell>
        </row>
        <row r="22">
          <cell r="C22">
            <v>27667.240593222879</v>
          </cell>
        </row>
      </sheetData>
      <sheetData sheetId="2" refreshError="1"/>
      <sheetData sheetId="3">
        <row r="5">
          <cell r="C5">
            <v>117520.82452800778</v>
          </cell>
          <cell r="H5">
            <v>35591.16065014623</v>
          </cell>
          <cell r="M5">
            <v>122156.86402257682</v>
          </cell>
          <cell r="R5">
            <v>122443.46142186403</v>
          </cell>
          <cell r="W5">
            <v>32215.177686603718</v>
          </cell>
          <cell r="AB5">
            <v>3649.8403297316117</v>
          </cell>
        </row>
        <row r="9">
          <cell r="C9">
            <v>87033.563871864433</v>
          </cell>
          <cell r="H9">
            <v>17420.668837631336</v>
          </cell>
          <cell r="M9">
            <v>92588.383466126659</v>
          </cell>
          <cell r="R9">
            <v>107886.87717193968</v>
          </cell>
          <cell r="W9">
            <v>26589.202186518291</v>
          </cell>
        </row>
        <row r="11">
          <cell r="AB11">
            <v>3171.0052524048524</v>
          </cell>
        </row>
        <row r="15">
          <cell r="R15">
            <v>11588.813881272286</v>
          </cell>
          <cell r="W15">
            <v>4009.5717229536535</v>
          </cell>
        </row>
        <row r="18">
          <cell r="R18">
            <v>3406.1560786689602</v>
          </cell>
          <cell r="W18">
            <v>1789.4492625596881</v>
          </cell>
          <cell r="AB18">
            <v>1598.4435019155608</v>
          </cell>
        </row>
        <row r="22">
          <cell r="R22">
            <v>5395.5015146091027</v>
          </cell>
          <cell r="W22">
            <v>7949.1678116571602</v>
          </cell>
          <cell r="AB22">
            <v>1674.4474651985201</v>
          </cell>
        </row>
      </sheetData>
      <sheetData sheetId="4" refreshError="1"/>
      <sheetData sheetId="5" refreshError="1"/>
      <sheetData sheetId="6" refreshError="1"/>
      <sheetData sheetId="7">
        <row r="5">
          <cell r="D5">
            <v>120720.33949808433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2">
          <cell r="D42">
            <v>9417709.7146966085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Parcel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14">
          <cell r="C14">
            <v>30022.861482358101</v>
          </cell>
        </row>
      </sheetData>
      <sheetData sheetId="1">
        <row r="3">
          <cell r="C3" t="str">
            <v>4th Qrt'24</v>
          </cell>
        </row>
        <row r="5">
          <cell r="C5">
            <v>298357.34419892548</v>
          </cell>
        </row>
        <row r="9">
          <cell r="C9">
            <v>214373.48086296726</v>
          </cell>
        </row>
        <row r="15">
          <cell r="C15">
            <v>66063.033857496383</v>
          </cell>
        </row>
        <row r="18">
          <cell r="C18">
            <v>16045.959997612264</v>
          </cell>
        </row>
        <row r="22">
          <cell r="C22">
            <v>31800.180568695949</v>
          </cell>
        </row>
      </sheetData>
      <sheetData sheetId="2"/>
      <sheetData sheetId="3">
        <row r="5">
          <cell r="C5">
            <v>128033.47282789645</v>
          </cell>
          <cell r="H5">
            <v>39439.074504026306</v>
          </cell>
          <cell r="M5">
            <v>130884.79686700279</v>
          </cell>
          <cell r="R5">
            <v>126472.02430041393</v>
          </cell>
          <cell r="W5">
            <v>33417.742704159042</v>
          </cell>
          <cell r="AB5">
            <v>3314.7917924131489</v>
          </cell>
        </row>
        <row r="9">
          <cell r="C9">
            <v>95125.603543902194</v>
          </cell>
          <cell r="H9">
            <v>19284.546640842069</v>
          </cell>
          <cell r="M9">
            <v>99963.330678223007</v>
          </cell>
          <cell r="R9">
            <v>110668.9410096865</v>
          </cell>
          <cell r="W9">
            <v>27696.076852720627</v>
          </cell>
        </row>
        <row r="11">
          <cell r="AB11">
            <v>3027.3769119108451</v>
          </cell>
        </row>
        <row r="15">
          <cell r="R15">
            <v>9992.0258622042093</v>
          </cell>
          <cell r="W15">
            <v>4029.4723290199681</v>
          </cell>
        </row>
        <row r="18">
          <cell r="R18">
            <v>5406.7382229211034</v>
          </cell>
          <cell r="W18">
            <v>1257.3344973099051</v>
          </cell>
          <cell r="AB18">
            <v>1574.1005812127851</v>
          </cell>
        </row>
        <row r="22">
          <cell r="R22">
            <v>7305.5694571542126</v>
          </cell>
          <cell r="W22">
            <v>7503.4292358730327</v>
          </cell>
          <cell r="AB22">
            <v>1702.8514194559534</v>
          </cell>
        </row>
      </sheetData>
      <sheetData sheetId="4"/>
      <sheetData sheetId="5">
        <row r="5">
          <cell r="C5">
            <v>298357.34419892554</v>
          </cell>
        </row>
      </sheetData>
      <sheetData sheetId="6"/>
      <sheetData sheetId="7">
        <row r="5">
          <cell r="C5">
            <v>128033.47282789645</v>
          </cell>
        </row>
      </sheetData>
      <sheetData sheetId="8"/>
      <sheetData sheetId="9"/>
      <sheetData sheetId="10"/>
      <sheetData sheetId="11"/>
      <sheetData sheetId="12"/>
      <sheetData sheetId="13">
        <row r="16">
          <cell r="C16">
            <v>12034234.230048275</v>
          </cell>
        </row>
      </sheetData>
      <sheetData sheetId="14">
        <row r="16">
          <cell r="E16">
            <v>3608753.806765751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42">
          <cell r="D42">
            <v>9746030.3298199028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6">
          <cell r="C16">
            <v>356660.26999999979</v>
          </cell>
        </row>
      </sheetData>
      <sheetData sheetId="31"/>
      <sheetData sheetId="32">
        <row r="16">
          <cell r="C16">
            <v>82120.099999999977</v>
          </cell>
        </row>
      </sheetData>
      <sheetData sheetId="33"/>
      <sheetData sheetId="34">
        <row r="16">
          <cell r="C16">
            <v>329364.95000000019</v>
          </cell>
        </row>
      </sheetData>
      <sheetData sheetId="35">
        <row r="16">
          <cell r="C16">
            <v>0</v>
          </cell>
        </row>
      </sheetData>
      <sheetData sheetId="36"/>
      <sheetData sheetId="37">
        <row r="16">
          <cell r="C16">
            <v>32379.420000000013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16">
          <cell r="C16">
            <v>0</v>
          </cell>
        </row>
      </sheetData>
      <sheetData sheetId="53">
        <row r="16">
          <cell r="C16">
            <v>1513880.37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16">
          <cell r="C16">
            <v>0</v>
          </cell>
        </row>
      </sheetData>
      <sheetData sheetId="73">
        <row r="16">
          <cell r="C16">
            <v>0</v>
          </cell>
        </row>
      </sheetData>
      <sheetData sheetId="74">
        <row r="16">
          <cell r="C16">
            <v>0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6">
          <cell r="C16">
            <v>0</v>
          </cell>
        </row>
      </sheetData>
      <sheetData sheetId="84">
        <row r="16">
          <cell r="C16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>
        <row r="16">
          <cell r="C16">
            <v>1129333.2727445299</v>
          </cell>
        </row>
      </sheetData>
      <sheetData sheetId="92">
        <row r="16">
          <cell r="C16">
            <v>1792657.2725657187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Parcel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14">
          <cell r="C14">
            <v>111073.95040908965</v>
          </cell>
        </row>
      </sheetData>
      <sheetData sheetId="1">
        <row r="5">
          <cell r="C5">
            <v>1115853.3387384915</v>
          </cell>
        </row>
        <row r="9">
          <cell r="C9">
            <v>794767.62388306961</v>
          </cell>
        </row>
        <row r="15">
          <cell r="C15">
            <v>264463.69708213897</v>
          </cell>
        </row>
        <row r="18">
          <cell r="C18">
            <v>57568.628189868221</v>
          </cell>
        </row>
        <row r="22">
          <cell r="C22">
            <v>120883.78737968915</v>
          </cell>
        </row>
      </sheetData>
      <sheetData sheetId="2"/>
      <sheetData sheetId="3">
        <row r="5">
          <cell r="C5">
            <v>509491.42532607081</v>
          </cell>
          <cell r="H5">
            <v>147395.68522504292</v>
          </cell>
          <cell r="M5">
            <v>458966.22818737774</v>
          </cell>
          <cell r="R5">
            <v>469414.84119876323</v>
          </cell>
          <cell r="W5">
            <v>123976.95322648546</v>
          </cell>
        </row>
        <row r="9">
          <cell r="C9">
            <v>371239.12978961412</v>
          </cell>
          <cell r="H9">
            <v>73040.075056617439</v>
          </cell>
          <cell r="M9">
            <v>350488.41702683817</v>
          </cell>
          <cell r="R9">
            <v>409523.77591478947</v>
          </cell>
          <cell r="W9">
            <v>104818.35181284808</v>
          </cell>
        </row>
        <row r="15">
          <cell r="R15">
            <v>44941.529649830401</v>
          </cell>
          <cell r="W15">
            <v>16027.569232938165</v>
          </cell>
        </row>
        <row r="18">
          <cell r="R18">
            <v>15385.593796772107</v>
          </cell>
          <cell r="W18">
            <v>2287.4029956125919</v>
          </cell>
        </row>
        <row r="22">
          <cell r="R22">
            <v>23059.15882093825</v>
          </cell>
          <cell r="W22">
            <v>27189.56644120991</v>
          </cell>
        </row>
      </sheetData>
      <sheetData sheetId="4"/>
      <sheetData sheetId="5"/>
      <sheetData sheetId="6"/>
      <sheetData sheetId="7">
        <row r="5">
          <cell r="D5">
            <v>482515.15854611318</v>
          </cell>
        </row>
      </sheetData>
      <sheetData sheetId="8"/>
      <sheetData sheetId="9"/>
      <sheetData sheetId="10"/>
      <sheetData sheetId="11"/>
      <sheetData sheetId="12">
        <row r="29">
          <cell r="C29">
            <v>3704479.4322907222</v>
          </cell>
        </row>
      </sheetData>
      <sheetData sheetId="13"/>
      <sheetData sheetId="14">
        <row r="4">
          <cell r="C4">
            <v>458966228.18737775</v>
          </cell>
        </row>
      </sheetData>
      <sheetData sheetId="15">
        <row r="4">
          <cell r="C4">
            <v>41617003.75</v>
          </cell>
        </row>
      </sheetData>
      <sheetData sheetId="16">
        <row r="4">
          <cell r="D4">
            <v>39607363.280000001</v>
          </cell>
        </row>
      </sheetData>
      <sheetData sheetId="17">
        <row r="4">
          <cell r="D4">
            <v>173562213.57000002</v>
          </cell>
        </row>
      </sheetData>
      <sheetData sheetId="18">
        <row r="4">
          <cell r="D4">
            <v>348149.71845635446</v>
          </cell>
        </row>
      </sheetData>
      <sheetData sheetId="19">
        <row r="4">
          <cell r="D4">
            <v>133814.16999999998</v>
          </cell>
        </row>
      </sheetData>
      <sheetData sheetId="20">
        <row r="4">
          <cell r="D4">
            <v>761.55000000000007</v>
          </cell>
        </row>
      </sheetData>
      <sheetData sheetId="21">
        <row r="4">
          <cell r="D4">
            <v>203914382.63571945</v>
          </cell>
        </row>
      </sheetData>
      <sheetData sheetId="22">
        <row r="42">
          <cell r="D42">
            <v>357742.08999999985</v>
          </cell>
        </row>
      </sheetData>
      <sheetData sheetId="23">
        <row r="4">
          <cell r="D4">
            <v>0</v>
          </cell>
        </row>
      </sheetData>
      <sheetData sheetId="24">
        <row r="4">
          <cell r="C4">
            <v>8732066.8599999994</v>
          </cell>
        </row>
      </sheetData>
      <sheetData sheetId="25">
        <row r="4">
          <cell r="C4">
            <v>0</v>
          </cell>
        </row>
      </sheetData>
      <sheetData sheetId="26">
        <row r="4">
          <cell r="C4">
            <v>0</v>
          </cell>
        </row>
      </sheetData>
      <sheetData sheetId="27">
        <row r="4">
          <cell r="C4">
            <v>0</v>
          </cell>
        </row>
      </sheetData>
      <sheetData sheetId="28">
        <row r="4">
          <cell r="C4">
            <v>330174.58999999997</v>
          </cell>
        </row>
      </sheetData>
      <sheetData sheetId="29">
        <row r="4">
          <cell r="C4">
            <v>120596.74000000002</v>
          </cell>
        </row>
      </sheetData>
      <sheetData sheetId="30">
        <row r="4">
          <cell r="C4">
            <v>4621978.29</v>
          </cell>
        </row>
      </sheetData>
      <sheetData sheetId="31">
        <row r="4">
          <cell r="C4">
            <v>971733.28000000026</v>
          </cell>
        </row>
      </sheetData>
      <sheetData sheetId="32">
        <row r="4">
          <cell r="C4">
            <v>549883.29999999993</v>
          </cell>
        </row>
      </sheetData>
      <sheetData sheetId="33">
        <row r="4">
          <cell r="C4">
            <v>112491.2</v>
          </cell>
        </row>
      </sheetData>
      <sheetData sheetId="34">
        <row r="4">
          <cell r="C4">
            <v>12300560.529999997</v>
          </cell>
        </row>
      </sheetData>
      <sheetData sheetId="35">
        <row r="4">
          <cell r="C4">
            <v>51519.619999999995</v>
          </cell>
        </row>
      </sheetData>
      <sheetData sheetId="36">
        <row r="4">
          <cell r="C4">
            <v>928772.62</v>
          </cell>
        </row>
      </sheetData>
      <sheetData sheetId="37">
        <row r="4">
          <cell r="C4">
            <v>929397.44000000006</v>
          </cell>
        </row>
      </sheetData>
      <sheetData sheetId="38">
        <row r="4">
          <cell r="C4">
            <v>1760686.1599999997</v>
          </cell>
        </row>
      </sheetData>
      <sheetData sheetId="39"/>
      <sheetData sheetId="40">
        <row r="4">
          <cell r="C4">
            <v>3887220.66</v>
          </cell>
        </row>
      </sheetData>
      <sheetData sheetId="41">
        <row r="4">
          <cell r="C4">
            <v>0</v>
          </cell>
        </row>
      </sheetData>
      <sheetData sheetId="42">
        <row r="4">
          <cell r="C4">
            <v>582788.26</v>
          </cell>
        </row>
      </sheetData>
      <sheetData sheetId="43"/>
      <sheetData sheetId="44">
        <row r="4">
          <cell r="C4">
            <v>6299.2300000000005</v>
          </cell>
        </row>
      </sheetData>
      <sheetData sheetId="45">
        <row r="4">
          <cell r="C4">
            <v>40080.590000000004</v>
          </cell>
        </row>
      </sheetData>
      <sheetData sheetId="46">
        <row r="4">
          <cell r="C4">
            <v>0</v>
          </cell>
        </row>
      </sheetData>
      <sheetData sheetId="47">
        <row r="4">
          <cell r="C4">
            <v>550086.52</v>
          </cell>
        </row>
      </sheetData>
      <sheetData sheetId="48">
        <row r="4">
          <cell r="C4">
            <v>152513.06</v>
          </cell>
        </row>
      </sheetData>
      <sheetData sheetId="49">
        <row r="4">
          <cell r="C4">
            <v>6319922.46</v>
          </cell>
        </row>
      </sheetData>
      <sheetData sheetId="50">
        <row r="4">
          <cell r="C4">
            <v>0</v>
          </cell>
        </row>
      </sheetData>
      <sheetData sheetId="51">
        <row r="4">
          <cell r="C4">
            <v>0</v>
          </cell>
        </row>
      </sheetData>
      <sheetData sheetId="52">
        <row r="4">
          <cell r="C4">
            <v>1181781.6499999999</v>
          </cell>
        </row>
      </sheetData>
      <sheetData sheetId="53">
        <row r="4">
          <cell r="C4">
            <v>37093813.969999999</v>
          </cell>
        </row>
      </sheetData>
      <sheetData sheetId="54">
        <row r="4">
          <cell r="C4">
            <v>118535032.69999999</v>
          </cell>
        </row>
      </sheetData>
      <sheetData sheetId="55">
        <row r="4">
          <cell r="C4">
            <v>53293088.420000002</v>
          </cell>
        </row>
      </sheetData>
      <sheetData sheetId="56">
        <row r="4">
          <cell r="C4">
            <v>49010735.200000003</v>
          </cell>
        </row>
      </sheetData>
      <sheetData sheetId="57">
        <row r="4">
          <cell r="C4">
            <v>16231209.1</v>
          </cell>
        </row>
      </sheetData>
      <sheetData sheetId="58">
        <row r="4">
          <cell r="C4">
            <v>0</v>
          </cell>
        </row>
      </sheetData>
      <sheetData sheetId="59">
        <row r="4">
          <cell r="C4">
            <v>0</v>
          </cell>
        </row>
      </sheetData>
      <sheetData sheetId="60"/>
      <sheetData sheetId="61">
        <row r="4">
          <cell r="C4">
            <v>30880942.370000001</v>
          </cell>
        </row>
      </sheetData>
      <sheetData sheetId="62">
        <row r="4">
          <cell r="C4">
            <v>17965620.299999997</v>
          </cell>
        </row>
      </sheetData>
      <sheetData sheetId="63">
        <row r="4">
          <cell r="C4">
            <v>1315710.8799999999</v>
          </cell>
        </row>
      </sheetData>
      <sheetData sheetId="64"/>
      <sheetData sheetId="65">
        <row r="4">
          <cell r="C4">
            <v>2743116.46</v>
          </cell>
        </row>
      </sheetData>
      <sheetData sheetId="66"/>
      <sheetData sheetId="67">
        <row r="4">
          <cell r="C4">
            <v>2121790.86</v>
          </cell>
        </row>
      </sheetData>
      <sheetData sheetId="68">
        <row r="4">
          <cell r="C4">
            <v>0</v>
          </cell>
        </row>
      </sheetData>
      <sheetData sheetId="69"/>
      <sheetData sheetId="70">
        <row r="4">
          <cell r="C4">
            <v>0</v>
          </cell>
        </row>
      </sheetData>
      <sheetData sheetId="71"/>
      <sheetData sheetId="72">
        <row r="4">
          <cell r="C4">
            <v>341217.68999999994</v>
          </cell>
        </row>
      </sheetData>
      <sheetData sheetId="73">
        <row r="4">
          <cell r="C4">
            <v>2770.75</v>
          </cell>
        </row>
      </sheetData>
      <sheetData sheetId="74">
        <row r="4">
          <cell r="C4">
            <v>0</v>
          </cell>
        </row>
      </sheetData>
      <sheetData sheetId="75"/>
      <sheetData sheetId="76"/>
      <sheetData sheetId="77">
        <row r="4">
          <cell r="C4">
            <v>4161.278456354521</v>
          </cell>
        </row>
      </sheetData>
      <sheetData sheetId="78"/>
      <sheetData sheetId="79">
        <row r="4">
          <cell r="C4">
            <v>63224</v>
          </cell>
        </row>
      </sheetData>
      <sheetData sheetId="80">
        <row r="4">
          <cell r="C4">
            <v>0</v>
          </cell>
        </row>
      </sheetData>
      <sheetData sheetId="81">
        <row r="4">
          <cell r="C4">
            <v>0</v>
          </cell>
        </row>
      </sheetData>
      <sheetData sheetId="82">
        <row r="4">
          <cell r="C4">
            <v>70590.17</v>
          </cell>
        </row>
      </sheetData>
      <sheetData sheetId="83">
        <row r="4">
          <cell r="C4">
            <v>0</v>
          </cell>
        </row>
      </sheetData>
      <sheetData sheetId="84">
        <row r="4">
          <cell r="C4">
            <v>0</v>
          </cell>
        </row>
      </sheetData>
      <sheetData sheetId="85">
        <row r="4">
          <cell r="C4">
            <v>105982.17999999998</v>
          </cell>
        </row>
      </sheetData>
      <sheetData sheetId="86">
        <row r="4">
          <cell r="C4">
            <v>0</v>
          </cell>
        </row>
      </sheetData>
      <sheetData sheetId="87">
        <row r="4">
          <cell r="C4">
            <v>761.55000000000007</v>
          </cell>
        </row>
      </sheetData>
      <sheetData sheetId="88">
        <row r="4">
          <cell r="C4">
            <v>188596.99999999997</v>
          </cell>
        </row>
      </sheetData>
      <sheetData sheetId="89">
        <row r="4">
          <cell r="C4">
            <v>2145363.15</v>
          </cell>
        </row>
      </sheetData>
      <sheetData sheetId="90">
        <row r="4">
          <cell r="C4">
            <v>909257.64000000013</v>
          </cell>
        </row>
      </sheetData>
      <sheetData sheetId="91">
        <row r="4">
          <cell r="C4">
            <v>63339120.454702467</v>
          </cell>
        </row>
      </sheetData>
      <sheetData sheetId="92">
        <row r="4">
          <cell r="C4">
            <v>140575262.18101698</v>
          </cell>
        </row>
      </sheetData>
      <sheetData sheetId="93">
        <row r="4">
          <cell r="C4">
            <v>0</v>
          </cell>
        </row>
      </sheetData>
      <sheetData sheetId="94">
        <row r="4">
          <cell r="C4">
            <v>0</v>
          </cell>
        </row>
      </sheetData>
      <sheetData sheetId="95">
        <row r="4">
          <cell r="C4">
            <v>0</v>
          </cell>
        </row>
      </sheetData>
      <sheetData sheetId="96">
        <row r="4">
          <cell r="C4">
            <v>0</v>
          </cell>
        </row>
      </sheetData>
      <sheetData sheetId="97">
        <row r="4">
          <cell r="C4">
            <v>0</v>
          </cell>
        </row>
      </sheetData>
      <sheetData sheetId="98">
        <row r="4">
          <cell r="C4">
            <v>0</v>
          </cell>
        </row>
      </sheetData>
      <sheetData sheetId="99">
        <row r="4">
          <cell r="C4">
            <v>0</v>
          </cell>
        </row>
      </sheetData>
      <sheetData sheetId="100">
        <row r="4">
          <cell r="C4">
            <v>0</v>
          </cell>
        </row>
      </sheetData>
      <sheetData sheetId="101">
        <row r="4">
          <cell r="C4">
            <v>0</v>
          </cell>
        </row>
      </sheetData>
      <sheetData sheetId="102">
        <row r="4">
          <cell r="C4">
            <v>0</v>
          </cell>
        </row>
      </sheetData>
      <sheetData sheetId="103">
        <row r="4">
          <cell r="C4">
            <v>0</v>
          </cell>
        </row>
      </sheetData>
      <sheetData sheetId="104">
        <row r="4">
          <cell r="C4">
            <v>0</v>
          </cell>
        </row>
      </sheetData>
      <sheetData sheetId="105">
        <row r="4">
          <cell r="C4">
            <v>189789</v>
          </cell>
        </row>
      </sheetData>
      <sheetData sheetId="106">
        <row r="4">
          <cell r="C4">
            <v>-3756449.4567980855</v>
          </cell>
        </row>
      </sheetData>
      <sheetData sheetId="10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5 Vs 24"/>
      <sheetName val="Sum Per Product-23 Vs 22 Org"/>
      <sheetName val="Sum Per Produc-25 Vs 24 Express"/>
      <sheetName val="Sum Per Produc-SNS Org"/>
      <sheetName val="Sum Per Pro-25 Vs Bud"/>
      <sheetName val="Sum Vs Bud org"/>
      <sheetName val="Sum Per Pro-25 Vs Bud Express"/>
      <sheetName val="Sum Vs Bud org Express"/>
      <sheetName val="Summary Per Product-2025"/>
      <sheetName val="Summary Per Product (Courier)"/>
      <sheetName val="Summary Per Product-2024"/>
      <sheetName val="Consolidation -(Courier)"/>
      <sheetName val="Consolidation -(Exp +Parcel)"/>
      <sheetName val="Consolidation"/>
      <sheetName val="MENAT, IND, SSA"/>
      <sheetName val="Sub Sahara Africa"/>
      <sheetName val="GCC"/>
      <sheetName val="Europe"/>
      <sheetName val="America"/>
      <sheetName val="Asia Pacific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  <sheetName val="Europe &amp; America"/>
      <sheetName val="Sum Per Produc-24 Vs 23 Express"/>
    </sheetNames>
    <sheetDataSet>
      <sheetData sheetId="0" refreshError="1"/>
      <sheetData sheetId="1" refreshError="1">
        <row r="2">
          <cell r="B2" t="str">
            <v>2025 Vs 2024</v>
          </cell>
        </row>
        <row r="5">
          <cell r="C5">
            <v>269800.16071730346</v>
          </cell>
        </row>
        <row r="9">
          <cell r="C9">
            <v>195736.0193187751</v>
          </cell>
        </row>
        <row r="15">
          <cell r="C15">
            <v>65632.419191888286</v>
          </cell>
        </row>
        <row r="18">
          <cell r="C18">
            <v>7716.1917932043525</v>
          </cell>
        </row>
        <row r="22">
          <cell r="C22">
            <v>22550.38253872958</v>
          </cell>
        </row>
      </sheetData>
      <sheetData sheetId="2" refreshError="1"/>
      <sheetData sheetId="3" refreshError="1">
        <row r="5">
          <cell r="C5">
            <v>116950.47126233127</v>
          </cell>
          <cell r="H5">
            <v>35559.957298708287</v>
          </cell>
          <cell r="M5">
            <v>117289.73215626391</v>
          </cell>
          <cell r="R5">
            <v>117886.39233207003</v>
          </cell>
          <cell r="W5">
            <v>35008.942462976382</v>
          </cell>
          <cell r="AB5">
            <v>2893.2393572459659</v>
          </cell>
        </row>
        <row r="9">
          <cell r="C9">
            <v>86701.677556367998</v>
          </cell>
          <cell r="H9">
            <v>17723.658338066569</v>
          </cell>
          <cell r="M9">
            <v>91310.683424340532</v>
          </cell>
          <cell r="R9">
            <v>101408.8339705964</v>
          </cell>
          <cell r="W9">
            <v>28776.444146795038</v>
          </cell>
        </row>
        <row r="11">
          <cell r="AB11">
            <v>2521.9216499777185</v>
          </cell>
        </row>
        <row r="15">
          <cell r="R15">
            <v>10945.666029196183</v>
          </cell>
          <cell r="W15">
            <v>4430.3246829410609</v>
          </cell>
        </row>
        <row r="18">
          <cell r="R18">
            <v>5442.8783086923031</v>
          </cell>
          <cell r="W18">
            <v>2012.2521163112915</v>
          </cell>
          <cell r="AB18">
            <v>1412.0119595896754</v>
          </cell>
        </row>
        <row r="22">
          <cell r="R22">
            <v>7458.202158173468</v>
          </cell>
          <cell r="W22">
            <v>8297.5471843827036</v>
          </cell>
          <cell r="AB22">
            <v>1705.9781546792353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2">
          <cell r="D42">
            <v>14179.315315601823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97">
          <cell r="J97">
            <v>0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7">
          <cell r="J97">
            <v>-616515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5 Vs 24"/>
      <sheetName val="Sum Per Product-23 Vs 22 Org"/>
      <sheetName val="Sum Per Produc-25 Vs 24 Express"/>
      <sheetName val="Sum Per Produc-SNS Org"/>
      <sheetName val="Sum PerProduc-25Vs 24Normalized"/>
      <sheetName val="Sum Per Pro-25 Vs Bud"/>
      <sheetName val="Sum Vs Bud org"/>
      <sheetName val="Sum Per Pro-25 Vs Bud Express"/>
      <sheetName val="Sum Vs Bud org Express"/>
      <sheetName val="Sum Per Pro-25 Vs BudNormalized"/>
      <sheetName val="Summary Per Product-2025"/>
      <sheetName val="Summary Per Product (Courier)"/>
      <sheetName val="Summary Per Product-2024"/>
      <sheetName val="Consolidation -(Courier)"/>
      <sheetName val="Consolidation -(Exp +Parcel)"/>
      <sheetName val="Consolidation"/>
      <sheetName val="MENAT, IND, SSA"/>
      <sheetName val="Sub Sahara Africa"/>
      <sheetName val="GCC"/>
      <sheetName val="Europe &amp; America"/>
      <sheetName val="America"/>
      <sheetName val="Asia Pacific"/>
      <sheetName val="Oceania"/>
      <sheetName val="South Asia"/>
      <sheetName val="Holding Companies "/>
      <sheetName val="Amm Excl RO"/>
      <sheetName val="Amm"/>
      <sheetName val="AMM CLR"/>
      <sheetName val="JDA"/>
      <sheetName val="BGW"/>
      <sheetName val="BGD"/>
      <sheetName val="EBL"/>
      <sheetName val="BEY Excl Ro"/>
      <sheetName val="BEY"/>
      <sheetName val="RAM"/>
      <sheetName val="IST"/>
      <sheetName val="TBS"/>
      <sheetName val="CAI Excl RO"/>
      <sheetName val="CAI"/>
      <sheetName val="AEL"/>
      <sheetName val="KRT"/>
      <sheetName val="TIP"/>
      <sheetName val="ALG Excl RO"/>
      <sheetName val="ALG"/>
      <sheetName val="IFL"/>
      <sheetName val="CAS"/>
      <sheetName val="CAS LOG"/>
      <sheetName val="EBB"/>
      <sheetName val="IFU"/>
      <sheetName val="ACC Excl RO"/>
      <sheetName val="ACC"/>
      <sheetName val="LOS"/>
      <sheetName val="LOS FZE"/>
      <sheetName val="NBO Excl RO"/>
      <sheetName val="NBO"/>
      <sheetName val="DAR"/>
      <sheetName val="TUN"/>
      <sheetName val="TUN LOG"/>
      <sheetName val="TLZ"/>
      <sheetName val="PNT"/>
      <sheetName val="JNB Excl RO"/>
      <sheetName val="JNB"/>
      <sheetName val="KSA Excl RO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 Excl RO"/>
      <sheetName val="DOH"/>
      <sheetName val="IFQ"/>
      <sheetName val="THR"/>
      <sheetName val="Aramex Smart SMH "/>
      <sheetName val="UK Excl RO"/>
      <sheetName val="UK"/>
      <sheetName val="NL"/>
      <sheetName val="IRL Excl RO"/>
      <sheetName val="IRL"/>
      <sheetName val="PAR"/>
      <sheetName val="MLA"/>
      <sheetName val="PRG"/>
      <sheetName val="BTS"/>
      <sheetName val="USA Excl RO &amp; USA Holding"/>
      <sheetName val="USA"/>
      <sheetName val="MyUS"/>
      <sheetName val="INS"/>
      <sheetName val="YYZ"/>
      <sheetName val="India Excl RO "/>
      <sheetName val="India"/>
      <sheetName val="India Freight"/>
      <sheetName val="CMB"/>
      <sheetName val="CMB Freight"/>
      <sheetName val="HKG Excl RO"/>
      <sheetName val="HKG"/>
      <sheetName val="DAC"/>
      <sheetName val="SIN Excl RO"/>
      <sheetName val="SIN"/>
      <sheetName val="KUL Excl RO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14">
          <cell r="C14">
            <v>19750.614470968787</v>
          </cell>
        </row>
      </sheetData>
      <sheetData sheetId="1">
        <row r="2">
          <cell r="B2" t="str">
            <v>2025 Vs 2024</v>
          </cell>
        </row>
        <row r="5">
          <cell r="C5">
            <v>249543.17779341835</v>
          </cell>
        </row>
        <row r="9">
          <cell r="C9">
            <v>185168.95363618023</v>
          </cell>
        </row>
        <row r="15">
          <cell r="C15">
            <v>65269.064661591685</v>
          </cell>
        </row>
        <row r="18">
          <cell r="C18">
            <v>-2249.8880671201232</v>
          </cell>
        </row>
        <row r="22">
          <cell r="C22">
            <v>12977.252970435038</v>
          </cell>
        </row>
      </sheetData>
      <sheetData sheetId="2"/>
      <sheetData sheetId="3">
        <row r="5">
          <cell r="C5">
            <v>102102.78269024468</v>
          </cell>
          <cell r="H5">
            <v>32531.056490357776</v>
          </cell>
          <cell r="M5">
            <v>114909.33861281587</v>
          </cell>
          <cell r="R5">
            <v>119337.65156119192</v>
          </cell>
          <cell r="W5">
            <v>36051.693014335724</v>
          </cell>
          <cell r="AB5">
            <v>2868.3611742433859</v>
          </cell>
        </row>
        <row r="9">
          <cell r="C9">
            <v>78234.626777840633</v>
          </cell>
          <cell r="H9">
            <v>16253.411165187081</v>
          </cell>
          <cell r="M9">
            <v>90680.915693152536</v>
          </cell>
          <cell r="R9">
            <v>103885.60684956703</v>
          </cell>
          <cell r="W9">
            <v>28593.58366892668</v>
          </cell>
        </row>
        <row r="11">
          <cell r="AB11">
            <v>2370.0841688425758</v>
          </cell>
        </row>
        <row r="15">
          <cell r="R15">
            <v>11797.734902478287</v>
          </cell>
          <cell r="W15">
            <v>4720.9121629252313</v>
          </cell>
        </row>
        <row r="18">
          <cell r="R18">
            <v>3632.2724079293316</v>
          </cell>
          <cell r="W18">
            <v>2308.4880113099139</v>
          </cell>
          <cell r="AB18">
            <v>700.98634922444353</v>
          </cell>
        </row>
        <row r="22">
          <cell r="R22">
            <v>5771.9994497621601</v>
          </cell>
          <cell r="W22">
            <v>8813.508952367798</v>
          </cell>
          <cell r="AB22">
            <v>971.99599200930641</v>
          </cell>
        </row>
      </sheetData>
      <sheetData sheetId="4"/>
      <sheetData sheetId="5"/>
      <sheetData sheetId="6"/>
      <sheetData sheetId="7"/>
      <sheetData sheetId="8">
        <row r="5">
          <cell r="D5">
            <v>128082.81033349862</v>
          </cell>
        </row>
      </sheetData>
      <sheetData sheetId="9"/>
      <sheetData sheetId="10"/>
      <sheetData sheetId="11">
        <row r="5">
          <cell r="G5">
            <v>407800.88354318938</v>
          </cell>
        </row>
      </sheetData>
      <sheetData sheetId="12"/>
      <sheetData sheetId="13">
        <row r="5">
          <cell r="G5">
            <v>407410.20444264961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4">
          <cell r="C4">
            <v>2085096.5499999998</v>
          </cell>
        </row>
      </sheetData>
      <sheetData sheetId="28">
        <row r="4">
          <cell r="C4">
            <v>0</v>
          </cell>
        </row>
      </sheetData>
      <sheetData sheetId="29">
        <row r="4">
          <cell r="C4">
            <v>0</v>
          </cell>
        </row>
      </sheetData>
      <sheetData sheetId="30">
        <row r="4">
          <cell r="C4">
            <v>0</v>
          </cell>
        </row>
      </sheetData>
      <sheetData sheetId="31">
        <row r="4">
          <cell r="C4">
            <v>73365.69</v>
          </cell>
        </row>
      </sheetData>
      <sheetData sheetId="32">
        <row r="4">
          <cell r="C4">
            <v>13830.499999999996</v>
          </cell>
        </row>
      </sheetData>
      <sheetData sheetId="33"/>
      <sheetData sheetId="34">
        <row r="4">
          <cell r="C4">
            <v>1412831.8399999999</v>
          </cell>
        </row>
      </sheetData>
      <sheetData sheetId="35">
        <row r="4">
          <cell r="C4">
            <v>272635.21999999997</v>
          </cell>
        </row>
      </sheetData>
      <sheetData sheetId="36">
        <row r="4">
          <cell r="C4">
            <v>157718.41999999998</v>
          </cell>
        </row>
      </sheetData>
      <sheetData sheetId="37">
        <row r="4">
          <cell r="C4">
            <v>33120.82</v>
          </cell>
        </row>
      </sheetData>
      <sheetData sheetId="38"/>
      <sheetData sheetId="39">
        <row r="4">
          <cell r="C4">
            <v>3445168.6700000004</v>
          </cell>
        </row>
      </sheetData>
      <sheetData sheetId="40">
        <row r="4">
          <cell r="C4">
            <v>0</v>
          </cell>
        </row>
      </sheetData>
      <sheetData sheetId="41">
        <row r="4">
          <cell r="C4">
            <v>-193366.56000000006</v>
          </cell>
        </row>
      </sheetData>
      <sheetData sheetId="42">
        <row r="4">
          <cell r="C4">
            <v>147806.87</v>
          </cell>
        </row>
      </sheetData>
      <sheetData sheetId="43"/>
      <sheetData sheetId="44">
        <row r="4">
          <cell r="C4">
            <v>363210.58999999997</v>
          </cell>
        </row>
      </sheetData>
      <sheetData sheetId="45"/>
      <sheetData sheetId="46">
        <row r="4">
          <cell r="C4">
            <v>1110870.8800000001</v>
          </cell>
        </row>
      </sheetData>
      <sheetData sheetId="47">
        <row r="4">
          <cell r="C4">
            <v>0</v>
          </cell>
        </row>
      </sheetData>
      <sheetData sheetId="48">
        <row r="4">
          <cell r="C4">
            <v>186923.76</v>
          </cell>
        </row>
      </sheetData>
      <sheetData sheetId="49"/>
      <sheetData sheetId="50"/>
      <sheetData sheetId="51">
        <row r="4">
          <cell r="C4">
            <v>3064.7099999999991</v>
          </cell>
        </row>
      </sheetData>
      <sheetData sheetId="52">
        <row r="4">
          <cell r="C4">
            <v>10609.47</v>
          </cell>
        </row>
      </sheetData>
      <sheetData sheetId="53">
        <row r="4">
          <cell r="C4">
            <v>0</v>
          </cell>
        </row>
      </sheetData>
      <sheetData sheetId="54"/>
      <sheetData sheetId="55">
        <row r="4">
          <cell r="C4">
            <v>154099.69</v>
          </cell>
        </row>
      </sheetData>
      <sheetData sheetId="56">
        <row r="4">
          <cell r="C4">
            <v>14871.630000000003</v>
          </cell>
        </row>
      </sheetData>
      <sheetData sheetId="57">
        <row r="4">
          <cell r="C4">
            <v>1774838.8000000007</v>
          </cell>
        </row>
      </sheetData>
      <sheetData sheetId="58">
        <row r="4">
          <cell r="C4">
            <v>0</v>
          </cell>
        </row>
      </sheetData>
      <sheetData sheetId="59">
        <row r="4">
          <cell r="C4">
            <v>0</v>
          </cell>
        </row>
      </sheetData>
      <sheetData sheetId="60">
        <row r="4">
          <cell r="C4">
            <v>298925.03000000009</v>
          </cell>
        </row>
      </sheetData>
      <sheetData sheetId="61"/>
      <sheetData sheetId="62">
        <row r="4">
          <cell r="C4">
            <v>9475388.0199999996</v>
          </cell>
        </row>
      </sheetData>
      <sheetData sheetId="63"/>
      <sheetData sheetId="64">
        <row r="4">
          <cell r="C4">
            <v>28763055.440000005</v>
          </cell>
        </row>
      </sheetData>
      <sheetData sheetId="65">
        <row r="4">
          <cell r="C4">
            <v>12590521.580000002</v>
          </cell>
        </row>
      </sheetData>
      <sheetData sheetId="66">
        <row r="4">
          <cell r="C4">
            <v>12221641.389999999</v>
          </cell>
        </row>
      </sheetData>
      <sheetData sheetId="67">
        <row r="4">
          <cell r="C4">
            <v>3950892.4799999995</v>
          </cell>
        </row>
      </sheetData>
      <sheetData sheetId="68">
        <row r="4">
          <cell r="C4">
            <v>0</v>
          </cell>
        </row>
      </sheetData>
      <sheetData sheetId="69">
        <row r="4">
          <cell r="C4">
            <v>0</v>
          </cell>
        </row>
      </sheetData>
      <sheetData sheetId="70"/>
      <sheetData sheetId="71">
        <row r="4">
          <cell r="C4">
            <v>9057914.3399999999</v>
          </cell>
        </row>
      </sheetData>
      <sheetData sheetId="72">
        <row r="4">
          <cell r="C4">
            <v>4709028.3600000013</v>
          </cell>
        </row>
      </sheetData>
      <sheetData sheetId="73">
        <row r="4">
          <cell r="C4">
            <v>478400.54000000004</v>
          </cell>
        </row>
      </sheetData>
      <sheetData sheetId="74"/>
      <sheetData sheetId="75">
        <row r="4">
          <cell r="C4">
            <v>689126.54</v>
          </cell>
        </row>
      </sheetData>
      <sheetData sheetId="76"/>
      <sheetData sheetId="77">
        <row r="4">
          <cell r="C4">
            <v>554614.25</v>
          </cell>
        </row>
      </sheetData>
      <sheetData sheetId="78"/>
      <sheetData sheetId="79">
        <row r="4">
          <cell r="C4">
            <v>81533.540000000008</v>
          </cell>
        </row>
      </sheetData>
      <sheetData sheetId="80"/>
      <sheetData sheetId="81">
        <row r="4">
          <cell r="C4">
            <v>0</v>
          </cell>
        </row>
      </sheetData>
      <sheetData sheetId="82"/>
      <sheetData sheetId="83"/>
      <sheetData sheetId="84">
        <row r="4">
          <cell r="C4">
            <v>10359.390000000003</v>
          </cell>
        </row>
      </sheetData>
      <sheetData sheetId="85">
        <row r="4">
          <cell r="C4">
            <v>674.14</v>
          </cell>
        </row>
      </sheetData>
      <sheetData sheetId="86"/>
      <sheetData sheetId="87">
        <row r="4">
          <cell r="C4">
            <v>0</v>
          </cell>
        </row>
      </sheetData>
      <sheetData sheetId="88"/>
      <sheetData sheetId="89"/>
      <sheetData sheetId="90">
        <row r="4">
          <cell r="C4">
            <v>1031.6394260866232</v>
          </cell>
        </row>
      </sheetData>
      <sheetData sheetId="91"/>
      <sheetData sheetId="92"/>
      <sheetData sheetId="93">
        <row r="4">
          <cell r="C4">
            <v>14554</v>
          </cell>
        </row>
      </sheetData>
      <sheetData sheetId="94">
        <row r="4">
          <cell r="E4">
            <v>17417503.579999998</v>
          </cell>
        </row>
      </sheetData>
      <sheetData sheetId="95">
        <row r="4">
          <cell r="C4">
            <v>0</v>
          </cell>
        </row>
      </sheetData>
      <sheetData sheetId="96">
        <row r="4">
          <cell r="C4">
            <v>17576.32</v>
          </cell>
        </row>
      </sheetData>
      <sheetData sheetId="97"/>
      <sheetData sheetId="98">
        <row r="4">
          <cell r="C4">
            <v>0</v>
          </cell>
        </row>
      </sheetData>
      <sheetData sheetId="99">
        <row r="4">
          <cell r="C4">
            <v>0</v>
          </cell>
        </row>
      </sheetData>
      <sheetData sheetId="100">
        <row r="4">
          <cell r="C4">
            <v>18861.29</v>
          </cell>
        </row>
      </sheetData>
      <sheetData sheetId="101">
        <row r="4">
          <cell r="C4">
            <v>0</v>
          </cell>
        </row>
      </sheetData>
      <sheetData sheetId="102"/>
      <sheetData sheetId="103">
        <row r="4">
          <cell r="C4">
            <v>107.22000000000001</v>
          </cell>
        </row>
      </sheetData>
      <sheetData sheetId="104">
        <row r="4">
          <cell r="C4">
            <v>13413.089999999997</v>
          </cell>
        </row>
      </sheetData>
      <sheetData sheetId="105"/>
      <sheetData sheetId="106">
        <row r="4">
          <cell r="C4">
            <v>503415.91</v>
          </cell>
        </row>
      </sheetData>
      <sheetData sheetId="107"/>
      <sheetData sheetId="108">
        <row r="4">
          <cell r="C4">
            <v>145348.52000000002</v>
          </cell>
        </row>
      </sheetData>
      <sheetData sheetId="109">
        <row r="4">
          <cell r="C4">
            <v>14850207.731644982</v>
          </cell>
        </row>
      </sheetData>
      <sheetData sheetId="110">
        <row r="4">
          <cell r="C4">
            <v>34866794.293421768</v>
          </cell>
        </row>
      </sheetData>
      <sheetData sheetId="111">
        <row r="4">
          <cell r="C4">
            <v>0</v>
          </cell>
        </row>
      </sheetData>
      <sheetData sheetId="112">
        <row r="4">
          <cell r="C4">
            <v>0</v>
          </cell>
        </row>
      </sheetData>
      <sheetData sheetId="113">
        <row r="4">
          <cell r="C4">
            <v>0</v>
          </cell>
        </row>
      </sheetData>
      <sheetData sheetId="114">
        <row r="4">
          <cell r="C4">
            <v>0</v>
          </cell>
        </row>
      </sheetData>
      <sheetData sheetId="115">
        <row r="4">
          <cell r="C4">
            <v>0</v>
          </cell>
        </row>
      </sheetData>
      <sheetData sheetId="116">
        <row r="4">
          <cell r="C4">
            <v>0</v>
          </cell>
        </row>
      </sheetData>
      <sheetData sheetId="117">
        <row r="4">
          <cell r="C4">
            <v>0</v>
          </cell>
        </row>
      </sheetData>
      <sheetData sheetId="118">
        <row r="4">
          <cell r="C4">
            <v>0</v>
          </cell>
        </row>
      </sheetData>
      <sheetData sheetId="119">
        <row r="4">
          <cell r="C4">
            <v>0</v>
          </cell>
        </row>
      </sheetData>
      <sheetData sheetId="120">
        <row r="4">
          <cell r="C4">
            <v>0</v>
          </cell>
        </row>
      </sheetData>
      <sheetData sheetId="121">
        <row r="4">
          <cell r="C4">
            <v>0</v>
          </cell>
        </row>
      </sheetData>
      <sheetData sheetId="122">
        <row r="4">
          <cell r="C4">
            <v>0</v>
          </cell>
        </row>
      </sheetData>
      <sheetData sheetId="123">
        <row r="4">
          <cell r="C4">
            <v>63027</v>
          </cell>
        </row>
      </sheetData>
      <sheetData sheetId="124">
        <row r="4">
          <cell r="C4">
            <v>-770715.5416769851</v>
          </cell>
        </row>
      </sheetData>
      <sheetData sheetId="12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5 Vs 24"/>
      <sheetName val="Sum Per Product-23 Vs 22 Org"/>
      <sheetName val="Sum Per Produc-25 Vs 24 Express"/>
      <sheetName val="Sum Per Produc-SNS Org"/>
      <sheetName val="Parcel Forwarding Split-25 Vs24"/>
      <sheetName val="Parcel Forwarding Split-25 Norm"/>
      <sheetName val="Sum PerProduc-25Vs 24Normalized"/>
      <sheetName val="Sum Per Pro-25 Vs Bud"/>
      <sheetName val="Sum Vs Bud org"/>
      <sheetName val="Sum Per Pro-25 Vs Bud Express"/>
      <sheetName val="Sum Vs Bud org Express"/>
      <sheetName val="Sum Per Pro-25 Vs BudNormalized"/>
      <sheetName val="Parcel Forwarding Split-Budget"/>
      <sheetName val="Parcel Forwd Split-Bud Normaliz"/>
      <sheetName val="Summary Per Product-2025"/>
      <sheetName val="Summary Per Product (Courier)"/>
      <sheetName val="Summary Per Product-2024"/>
      <sheetName val="Consolidation -(Courier)"/>
      <sheetName val="Consolidation -(Exp +Parcel)"/>
      <sheetName val="Consolidation"/>
      <sheetName val="MENAT, IND, SSA"/>
      <sheetName val="Sub Sahara Africa"/>
      <sheetName val="GCC"/>
      <sheetName val="Europe &amp; America"/>
      <sheetName val="America"/>
      <sheetName val="Asia Pacific"/>
      <sheetName val="Oceania"/>
      <sheetName val="South Asia"/>
      <sheetName val="Holding Companies "/>
      <sheetName val="Amm Excl RO"/>
      <sheetName val="Amm"/>
      <sheetName val="AMM CLR"/>
      <sheetName val="JDA"/>
      <sheetName val="BGW"/>
      <sheetName val="BGD"/>
      <sheetName val="EBL"/>
      <sheetName val="BEY Excl Ro"/>
      <sheetName val="BEY"/>
      <sheetName val="RAM"/>
      <sheetName val="IST"/>
      <sheetName val="TBS"/>
      <sheetName val="CAI Excl RO"/>
      <sheetName val="CAI"/>
      <sheetName val="AEL"/>
      <sheetName val="KRT"/>
      <sheetName val="TIP"/>
      <sheetName val="ALG Excl RO"/>
      <sheetName val="ALG"/>
      <sheetName val="IFL"/>
      <sheetName val="CAS"/>
      <sheetName val="CAS LOG"/>
      <sheetName val="EBB"/>
      <sheetName val="IFU"/>
      <sheetName val="ACC Excl RO"/>
      <sheetName val="ACC"/>
      <sheetName val="LOS"/>
      <sheetName val="LOS FZE"/>
      <sheetName val="NBO Excl RO"/>
      <sheetName val="NBO"/>
      <sheetName val="DAR"/>
      <sheetName val="TUN"/>
      <sheetName val="TUN LOG"/>
      <sheetName val="TLZ"/>
      <sheetName val="PNT"/>
      <sheetName val="JNB Excl RO"/>
      <sheetName val="JNB"/>
      <sheetName val="KSA Excl RO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 Excl RO"/>
      <sheetName val="DOH"/>
      <sheetName val="IFQ"/>
      <sheetName val="THR"/>
      <sheetName val="Aramex Smart SMH "/>
      <sheetName val="UK Excl RO"/>
      <sheetName val="UK"/>
      <sheetName val="NL"/>
      <sheetName val="IRL Excl RO"/>
      <sheetName val="IRL"/>
      <sheetName val="PAR"/>
      <sheetName val="MLA"/>
      <sheetName val="PRG"/>
      <sheetName val="BTS"/>
      <sheetName val="USA Excl RO &amp; USA Holding"/>
      <sheetName val="USA"/>
      <sheetName val="INS"/>
      <sheetName val="MyUS"/>
      <sheetName val="YYZ"/>
      <sheetName val="India Excl RO "/>
      <sheetName val="India"/>
      <sheetName val="India Freight"/>
      <sheetName val="CMB Excl RO"/>
      <sheetName val="CMB"/>
      <sheetName val="CMB Freight"/>
      <sheetName val="HKG Excl RO"/>
      <sheetName val="HKG"/>
      <sheetName val="DAC"/>
      <sheetName val="SIN Excl RO"/>
      <sheetName val="SIN"/>
      <sheetName val="KUL Excl RO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/>
      <sheetData sheetId="1">
        <row r="2">
          <cell r="B2" t="str">
            <v>2025 Vs 2024</v>
          </cell>
        </row>
        <row r="5">
          <cell r="C5">
            <v>268023.71619361592</v>
          </cell>
        </row>
        <row r="9">
          <cell r="C9">
            <v>193568.25277292033</v>
          </cell>
        </row>
        <row r="15">
          <cell r="C15">
            <v>63868.884720846807</v>
          </cell>
        </row>
        <row r="18">
          <cell r="C18">
            <v>10437.795230272653</v>
          </cell>
        </row>
        <row r="22">
          <cell r="C22">
            <v>28390.479243629998</v>
          </cell>
        </row>
      </sheetData>
      <sheetData sheetId="2" refreshError="1"/>
      <sheetData sheetId="3">
        <row r="5">
          <cell r="C5">
            <v>107103.28479430263</v>
          </cell>
          <cell r="H5">
            <v>32916.15376948956</v>
          </cell>
          <cell r="M5">
            <v>128004.27762982376</v>
          </cell>
          <cell r="R5">
            <v>126806.98274569419</v>
          </cell>
          <cell r="W5">
            <v>37387.407107238454</v>
          </cell>
          <cell r="AB5">
            <v>3188.4567512688154</v>
          </cell>
        </row>
        <row r="9">
          <cell r="C9">
            <v>76069.012770282177</v>
          </cell>
          <cell r="H9">
            <v>16342.449375733806</v>
          </cell>
          <cell r="M9">
            <v>101156.79062690435</v>
          </cell>
          <cell r="R9">
            <v>110627.49756671235</v>
          </cell>
          <cell r="W9">
            <v>29807.521049284496</v>
          </cell>
        </row>
        <row r="11">
          <cell r="AB11">
            <v>2603.6584299373349</v>
          </cell>
        </row>
        <row r="15">
          <cell r="R15">
            <v>11840.915916871752</v>
          </cell>
          <cell r="W15">
            <v>5003.5867214873615</v>
          </cell>
        </row>
        <row r="18">
          <cell r="R18">
            <v>4236.9473475707646</v>
          </cell>
          <cell r="W18">
            <v>2344.9948770845517</v>
          </cell>
          <cell r="AB18">
            <v>440.36334165279777</v>
          </cell>
        </row>
        <row r="22">
          <cell r="R22">
            <v>6454.9180576667577</v>
          </cell>
          <cell r="W22">
            <v>9061.2750386586576</v>
          </cell>
          <cell r="AB22">
            <v>703.17906901664355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D5">
            <v>131704.75182462783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5 Vs 24"/>
      <sheetName val="Sum Per Product-23 Vs 22 Org"/>
      <sheetName val="Sum Per Produc-25 Vs 24 Express"/>
      <sheetName val="Sum Per Produc-SNS Org"/>
      <sheetName val="Parcel Forwarding Split-25 Vs24"/>
      <sheetName val="Parcel Forwarding Split-25 Norm"/>
      <sheetName val="Sum PerProduc-25Vs 24Normalized"/>
      <sheetName val="Sum Per Pro-25 Vs Bud"/>
      <sheetName val="Sum Vs Bud org"/>
      <sheetName val="Sum Per Pro-25 Vs Bud Express"/>
      <sheetName val="Sum Vs Bud org Express"/>
      <sheetName val="Sum Per Pro-25 Vs BudNormalized"/>
      <sheetName val="Parcel Forwd Split-Bud Normaliz"/>
      <sheetName val="Parcel Forwarding Split-Budget"/>
      <sheetName val="Summary Per Product-2025"/>
      <sheetName val="Summary Per Product (Courier)"/>
      <sheetName val="Summary Per Product-2024"/>
      <sheetName val="Consolidation -(Courier)"/>
      <sheetName val="Consolidation -(Exp +Parcel)"/>
      <sheetName val="Consolidation"/>
      <sheetName val="MENAT, IND, SSA"/>
      <sheetName val="Sub Sahara Africa"/>
      <sheetName val="GCC"/>
      <sheetName val="Europe &amp; America"/>
      <sheetName val="America"/>
      <sheetName val="Asia Pacific"/>
      <sheetName val="Oceania"/>
      <sheetName val="South Asia"/>
      <sheetName val="Holding Companies "/>
      <sheetName val="Amm Excl RO"/>
      <sheetName val="Amm"/>
      <sheetName val="AMM CLR"/>
      <sheetName val="JDA"/>
      <sheetName val="BGW"/>
      <sheetName val="BGD"/>
      <sheetName val="EBL"/>
      <sheetName val="BEY Excl Ro"/>
      <sheetName val="BEY"/>
      <sheetName val="RAM"/>
      <sheetName val="IST"/>
      <sheetName val="TBS"/>
      <sheetName val="CAI Excl RO"/>
      <sheetName val="CAI"/>
      <sheetName val="AEL"/>
      <sheetName val="KRT"/>
      <sheetName val="TIP"/>
      <sheetName val="ALG Excl RO"/>
      <sheetName val="ALG"/>
      <sheetName val="IFL"/>
      <sheetName val="CAS"/>
      <sheetName val="CAS LOG"/>
      <sheetName val="EBB"/>
      <sheetName val="IFU"/>
      <sheetName val="ACC Excl RO"/>
      <sheetName val="ACC"/>
      <sheetName val="LOS"/>
      <sheetName val="LOS FZE"/>
      <sheetName val="NBO Excl RO"/>
      <sheetName val="NBO"/>
      <sheetName val="DAR"/>
      <sheetName val="TUN"/>
      <sheetName val="TUN LOG"/>
      <sheetName val="TLZ"/>
      <sheetName val="PNT"/>
      <sheetName val="JNB Excl RO"/>
      <sheetName val="JNB"/>
      <sheetName val="KSA Excl RO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 Excl RO"/>
      <sheetName val="DOH"/>
      <sheetName val="IFQ"/>
      <sheetName val="THR"/>
      <sheetName val="Aramex Smart SMH "/>
      <sheetName val="UK Excl RO"/>
      <sheetName val="UK"/>
      <sheetName val="NL"/>
      <sheetName val="IRL Excl RO"/>
      <sheetName val="IRL"/>
      <sheetName val="PAR"/>
      <sheetName val="MLA"/>
      <sheetName val="PRG"/>
      <sheetName val="BTS"/>
      <sheetName val="USA Excl RO &amp; USA Holding"/>
      <sheetName val="USA"/>
      <sheetName val="INS"/>
      <sheetName val="MyUS"/>
      <sheetName val="YYZ"/>
      <sheetName val="India Excl RO "/>
      <sheetName val="India"/>
      <sheetName val="India Freight"/>
      <sheetName val="CMB Excl RO"/>
      <sheetName val="CMB"/>
      <sheetName val="CMB Freight"/>
      <sheetName val="HKG Excl RO"/>
      <sheetName val="HKG"/>
      <sheetName val="DAC"/>
      <sheetName val="SIN Excl RO"/>
      <sheetName val="SIN"/>
      <sheetName val="KUL Excl RO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14">
          <cell r="C14">
            <v>24113.549808292104</v>
          </cell>
        </row>
      </sheetData>
      <sheetData sheetId="1">
        <row r="2">
          <cell r="B2" t="str">
            <v>2025 Vs 2024</v>
          </cell>
        </row>
        <row r="5">
          <cell r="C5">
            <v>298375.64343286119</v>
          </cell>
        </row>
        <row r="9">
          <cell r="C9">
            <v>216406.37113647105</v>
          </cell>
        </row>
        <row r="15">
          <cell r="C15">
            <v>68541.288437856303</v>
          </cell>
        </row>
        <row r="18">
          <cell r="C18">
            <v>11637.599755799876</v>
          </cell>
        </row>
        <row r="22">
          <cell r="C22">
            <v>29651.941562085667</v>
          </cell>
        </row>
      </sheetData>
      <sheetData sheetId="2"/>
      <sheetData sheetId="3">
        <row r="5">
          <cell r="C5">
            <v>120952.98994700483</v>
          </cell>
          <cell r="H5">
            <v>35735.134533335964</v>
          </cell>
          <cell r="M5">
            <v>141687.51895252042</v>
          </cell>
          <cell r="R5">
            <v>123728.38460508177</v>
          </cell>
          <cell r="W5">
            <v>37701.273505076169</v>
          </cell>
          <cell r="AB5">
            <v>3126.8856726798003</v>
          </cell>
        </row>
        <row r="9">
          <cell r="C9">
            <v>89480.438474793744</v>
          </cell>
          <cell r="H9">
            <v>18753.862219007056</v>
          </cell>
          <cell r="M9">
            <v>108172.07044267026</v>
          </cell>
          <cell r="R9">
            <v>110643.87517348112</v>
          </cell>
          <cell r="W9">
            <v>30486.597628854644</v>
          </cell>
        </row>
        <row r="11">
          <cell r="AB11">
            <v>2633.2299125637528</v>
          </cell>
        </row>
        <row r="15">
          <cell r="R15">
            <v>12669.444393373349</v>
          </cell>
          <cell r="W15">
            <v>5314.9551823658148</v>
          </cell>
        </row>
        <row r="18">
          <cell r="R18">
            <v>423.54985616395362</v>
          </cell>
          <cell r="W18">
            <v>1602.5306402292633</v>
          </cell>
          <cell r="AB18">
            <v>373.57843747275911</v>
          </cell>
        </row>
        <row r="22">
          <cell r="R22">
            <v>2841.3431404953758</v>
          </cell>
          <cell r="W22">
            <v>8621.765093719041</v>
          </cell>
          <cell r="AB22">
            <v>645.21288025974911</v>
          </cell>
        </row>
      </sheetData>
      <sheetData sheetId="4"/>
      <sheetData sheetId="5">
        <row r="5">
          <cell r="C5">
            <v>35735.134533335964</v>
          </cell>
        </row>
      </sheetData>
      <sheetData sheetId="6"/>
      <sheetData sheetId="7"/>
      <sheetData sheetId="8"/>
      <sheetData sheetId="9"/>
      <sheetData sheetId="10">
        <row r="5">
          <cell r="D5">
            <v>136772.29754028085</v>
          </cell>
        </row>
      </sheetData>
      <sheetData sheetId="11"/>
      <sheetData sheetId="12"/>
      <sheetData sheetId="13"/>
      <sheetData sheetId="14"/>
      <sheetData sheetId="15">
        <row r="5">
          <cell r="G5">
            <v>462932.18721569894</v>
          </cell>
        </row>
      </sheetData>
      <sheetData sheetId="16"/>
      <sheetData sheetId="17">
        <row r="5">
          <cell r="G5">
            <v>461561.90299591166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">
          <cell r="C4">
            <v>2363376.9300000016</v>
          </cell>
        </row>
      </sheetData>
      <sheetData sheetId="32">
        <row r="4">
          <cell r="C4">
            <v>0</v>
          </cell>
        </row>
      </sheetData>
      <sheetData sheetId="33">
        <row r="4">
          <cell r="C4">
            <v>0</v>
          </cell>
        </row>
      </sheetData>
      <sheetData sheetId="34">
        <row r="4">
          <cell r="C4">
            <v>0</v>
          </cell>
        </row>
      </sheetData>
      <sheetData sheetId="35">
        <row r="4">
          <cell r="C4">
            <v>202509.46</v>
          </cell>
        </row>
      </sheetData>
      <sheetData sheetId="36">
        <row r="4">
          <cell r="C4">
            <v>17475.599999999999</v>
          </cell>
        </row>
      </sheetData>
      <sheetData sheetId="37"/>
      <sheetData sheetId="38">
        <row r="4">
          <cell r="C4">
            <v>1480879.9900000002</v>
          </cell>
        </row>
      </sheetData>
      <sheetData sheetId="39">
        <row r="4">
          <cell r="C4">
            <v>316596.73</v>
          </cell>
        </row>
      </sheetData>
      <sheetData sheetId="40">
        <row r="4">
          <cell r="C4">
            <v>198127.60999999993</v>
          </cell>
        </row>
      </sheetData>
      <sheetData sheetId="41">
        <row r="4">
          <cell r="C4">
            <v>49242.97</v>
          </cell>
        </row>
      </sheetData>
      <sheetData sheetId="42"/>
      <sheetData sheetId="43">
        <row r="4">
          <cell r="C4">
            <v>4398758.84</v>
          </cell>
        </row>
      </sheetData>
      <sheetData sheetId="44">
        <row r="4">
          <cell r="C4">
            <v>0</v>
          </cell>
        </row>
      </sheetData>
      <sheetData sheetId="45">
        <row r="4">
          <cell r="C4">
            <v>91031.87999999999</v>
          </cell>
        </row>
      </sheetData>
      <sheetData sheetId="46">
        <row r="4">
          <cell r="C4">
            <v>238195.59999999998</v>
          </cell>
        </row>
      </sheetData>
      <sheetData sheetId="47"/>
      <sheetData sheetId="48">
        <row r="4">
          <cell r="C4">
            <v>282573.16999999993</v>
          </cell>
        </row>
      </sheetData>
      <sheetData sheetId="49"/>
      <sheetData sheetId="50">
        <row r="4">
          <cell r="C4">
            <v>1336178.5499999998</v>
          </cell>
        </row>
      </sheetData>
      <sheetData sheetId="51">
        <row r="4">
          <cell r="C4">
            <v>0</v>
          </cell>
        </row>
      </sheetData>
      <sheetData sheetId="52">
        <row r="4">
          <cell r="C4">
            <v>174261.01</v>
          </cell>
        </row>
      </sheetData>
      <sheetData sheetId="53"/>
      <sheetData sheetId="54"/>
      <sheetData sheetId="55">
        <row r="4">
          <cell r="C4">
            <v>5257.2199999999993</v>
          </cell>
        </row>
      </sheetData>
      <sheetData sheetId="56">
        <row r="4">
          <cell r="C4">
            <v>70765.37</v>
          </cell>
        </row>
      </sheetData>
      <sheetData sheetId="57">
        <row r="4">
          <cell r="C4">
            <v>0</v>
          </cell>
        </row>
      </sheetData>
      <sheetData sheetId="58"/>
      <sheetData sheetId="59">
        <row r="4">
          <cell r="C4">
            <v>164250.21000000002</v>
          </cell>
        </row>
      </sheetData>
      <sheetData sheetId="60">
        <row r="4">
          <cell r="C4">
            <v>5850.1200000000026</v>
          </cell>
        </row>
      </sheetData>
      <sheetData sheetId="61">
        <row r="4">
          <cell r="C4">
            <v>1705533.5700000003</v>
          </cell>
        </row>
      </sheetData>
      <sheetData sheetId="62">
        <row r="4">
          <cell r="C4">
            <v>0</v>
          </cell>
        </row>
      </sheetData>
      <sheetData sheetId="63">
        <row r="4">
          <cell r="C4">
            <v>0</v>
          </cell>
        </row>
      </sheetData>
      <sheetData sheetId="64">
        <row r="4">
          <cell r="C4">
            <v>365253.97000000009</v>
          </cell>
        </row>
      </sheetData>
      <sheetData sheetId="65"/>
      <sheetData sheetId="66">
        <row r="4">
          <cell r="C4">
            <v>11370383.480000004</v>
          </cell>
        </row>
      </sheetData>
      <sheetData sheetId="67"/>
      <sheetData sheetId="68">
        <row r="4">
          <cell r="C4">
            <v>33748886.810000002</v>
          </cell>
        </row>
      </sheetData>
      <sheetData sheetId="69">
        <row r="4">
          <cell r="C4">
            <v>13869448.789999992</v>
          </cell>
        </row>
      </sheetData>
      <sheetData sheetId="70">
        <row r="4">
          <cell r="C4">
            <v>15421089.230000004</v>
          </cell>
        </row>
      </sheetData>
      <sheetData sheetId="71">
        <row r="4">
          <cell r="C4">
            <v>4458348.7999999989</v>
          </cell>
        </row>
      </sheetData>
      <sheetData sheetId="72">
        <row r="4">
          <cell r="C4">
            <v>0</v>
          </cell>
        </row>
      </sheetData>
      <sheetData sheetId="73">
        <row r="4">
          <cell r="C4">
            <v>0</v>
          </cell>
        </row>
      </sheetData>
      <sheetData sheetId="74"/>
      <sheetData sheetId="75">
        <row r="4">
          <cell r="C4">
            <v>10780244.759999998</v>
          </cell>
        </row>
      </sheetData>
      <sheetData sheetId="76">
        <row r="4">
          <cell r="C4">
            <v>4505219.8599999975</v>
          </cell>
        </row>
      </sheetData>
      <sheetData sheetId="77">
        <row r="4">
          <cell r="C4">
            <v>438259.68000000017</v>
          </cell>
        </row>
      </sheetData>
      <sheetData sheetId="78"/>
      <sheetData sheetId="79">
        <row r="4">
          <cell r="C4">
            <v>813910.51999999979</v>
          </cell>
        </row>
      </sheetData>
      <sheetData sheetId="80"/>
      <sheetData sheetId="81">
        <row r="4">
          <cell r="C4">
            <v>839415.43000000017</v>
          </cell>
        </row>
      </sheetData>
      <sheetData sheetId="82"/>
      <sheetData sheetId="83">
        <row r="4">
          <cell r="C4">
            <v>128603.91999999998</v>
          </cell>
        </row>
      </sheetData>
      <sheetData sheetId="84"/>
      <sheetData sheetId="85">
        <row r="4">
          <cell r="C4">
            <v>0</v>
          </cell>
        </row>
      </sheetData>
      <sheetData sheetId="86"/>
      <sheetData sheetId="87"/>
      <sheetData sheetId="88">
        <row r="4">
          <cell r="C4">
            <v>121.31999999999971</v>
          </cell>
        </row>
      </sheetData>
      <sheetData sheetId="89">
        <row r="4">
          <cell r="C4">
            <v>764.75</v>
          </cell>
        </row>
      </sheetData>
      <sheetData sheetId="90"/>
      <sheetData sheetId="91">
        <row r="4">
          <cell r="C4">
            <v>0</v>
          </cell>
        </row>
      </sheetData>
      <sheetData sheetId="92"/>
      <sheetData sheetId="93"/>
      <sheetData sheetId="94">
        <row r="4">
          <cell r="C4">
            <v>1145.9358317741744</v>
          </cell>
        </row>
      </sheetData>
      <sheetData sheetId="95"/>
      <sheetData sheetId="96"/>
      <sheetData sheetId="97">
        <row r="4">
          <cell r="C4">
            <v>2300</v>
          </cell>
        </row>
      </sheetData>
      <sheetData sheetId="98">
        <row r="4">
          <cell r="C4">
            <v>0</v>
          </cell>
        </row>
      </sheetData>
      <sheetData sheetId="99">
        <row r="4">
          <cell r="C4">
            <v>0</v>
          </cell>
        </row>
      </sheetData>
      <sheetData sheetId="100">
        <row r="4">
          <cell r="C4">
            <v>34035.689999999995</v>
          </cell>
        </row>
      </sheetData>
      <sheetData sheetId="101"/>
      <sheetData sheetId="102">
        <row r="4">
          <cell r="C4">
            <v>0</v>
          </cell>
        </row>
      </sheetData>
      <sheetData sheetId="103">
        <row r="4">
          <cell r="C4">
            <v>0</v>
          </cell>
        </row>
      </sheetData>
      <sheetData sheetId="104"/>
      <sheetData sheetId="105">
        <row r="4">
          <cell r="C4">
            <v>25704.589999999997</v>
          </cell>
        </row>
      </sheetData>
      <sheetData sheetId="106">
        <row r="4">
          <cell r="C4">
            <v>0</v>
          </cell>
        </row>
      </sheetData>
      <sheetData sheetId="107"/>
      <sheetData sheetId="108">
        <row r="4">
          <cell r="C4">
            <v>114.93</v>
          </cell>
        </row>
      </sheetData>
      <sheetData sheetId="109">
        <row r="4">
          <cell r="C4">
            <v>84942.24000000002</v>
          </cell>
        </row>
      </sheetData>
      <sheetData sheetId="110"/>
      <sheetData sheetId="111">
        <row r="4">
          <cell r="C4">
            <v>502797.9700000002</v>
          </cell>
        </row>
      </sheetData>
      <sheetData sheetId="112"/>
      <sheetData sheetId="113">
        <row r="4">
          <cell r="C4">
            <v>143577.71000000002</v>
          </cell>
        </row>
      </sheetData>
      <sheetData sheetId="114">
        <row r="4">
          <cell r="C4">
            <v>19832926.817869134</v>
          </cell>
        </row>
      </sheetData>
      <sheetData sheetId="115">
        <row r="4">
          <cell r="C4">
            <v>45999324.528495029</v>
          </cell>
        </row>
      </sheetData>
      <sheetData sheetId="116">
        <row r="4">
          <cell r="C4">
            <v>0</v>
          </cell>
        </row>
      </sheetData>
      <sheetData sheetId="117">
        <row r="4">
          <cell r="C4">
            <v>0</v>
          </cell>
        </row>
      </sheetData>
      <sheetData sheetId="118">
        <row r="4">
          <cell r="C4">
            <v>0</v>
          </cell>
        </row>
      </sheetData>
      <sheetData sheetId="119">
        <row r="4">
          <cell r="C4">
            <v>0</v>
          </cell>
        </row>
      </sheetData>
      <sheetData sheetId="120">
        <row r="4">
          <cell r="C4">
            <v>0</v>
          </cell>
        </row>
      </sheetData>
      <sheetData sheetId="121">
        <row r="4">
          <cell r="C4">
            <v>0</v>
          </cell>
        </row>
      </sheetData>
      <sheetData sheetId="122">
        <row r="4">
          <cell r="C4">
            <v>0</v>
          </cell>
        </row>
      </sheetData>
      <sheetData sheetId="123">
        <row r="4">
          <cell r="C4">
            <v>0</v>
          </cell>
        </row>
      </sheetData>
      <sheetData sheetId="124">
        <row r="4">
          <cell r="C4">
            <v>0</v>
          </cell>
        </row>
      </sheetData>
      <sheetData sheetId="125">
        <row r="4">
          <cell r="C4">
            <v>0</v>
          </cell>
        </row>
      </sheetData>
      <sheetData sheetId="126">
        <row r="4">
          <cell r="C4">
            <v>0</v>
          </cell>
        </row>
      </sheetData>
      <sheetData sheetId="127">
        <row r="4">
          <cell r="C4">
            <v>0</v>
          </cell>
        </row>
      </sheetData>
      <sheetData sheetId="128">
        <row r="4">
          <cell r="C4">
            <v>-25778</v>
          </cell>
        </row>
      </sheetData>
      <sheetData sheetId="129">
        <row r="4">
          <cell r="C4">
            <v>-1005502.7896755403</v>
          </cell>
        </row>
      </sheetData>
      <sheetData sheetId="1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5 Vs 24"/>
      <sheetName val="Sum Per Product-23 Vs 22 Org"/>
      <sheetName val="Sum Per Produc-25 Vs 24 Express"/>
      <sheetName val="Sum Per Produc-SNS Org"/>
      <sheetName val="Sum PerProduc-25Vs 24Normalized"/>
      <sheetName val="Parcel Forwd Split-25 Vs 24 "/>
      <sheetName val="Parcel Forwd Split-25Vs24Normal"/>
      <sheetName val="Parcel Forwd Split-25 Vs25Bud"/>
      <sheetName val="Parcel Forwd Split-25VsBud Norm"/>
      <sheetName val="Sum Per Pro-25 Vs Bud"/>
      <sheetName val="Sum Vs Bud org"/>
      <sheetName val="Sum Per Pro-25 Vs Bud Express"/>
      <sheetName val="Sum Vs Bud org Express"/>
      <sheetName val="Sum Per Pro-25 Vs BudNormalized"/>
      <sheetName val="Summary Per Product-2025"/>
      <sheetName val="Summary Per Product (Courier)"/>
      <sheetName val="Summary Per Product-2024"/>
      <sheetName val="Consolidation -(Courier)"/>
      <sheetName val="Consolidation -(Exp +Parcel)"/>
      <sheetName val="Consolidation"/>
      <sheetName val="MENAT, IND, SSA"/>
      <sheetName val="Sub Sahara Africa"/>
      <sheetName val="GCC"/>
      <sheetName val="Europe &amp; America"/>
      <sheetName val="America"/>
      <sheetName val="Asia Pacific"/>
      <sheetName val="Oceania"/>
      <sheetName val="South Asia"/>
      <sheetName val="Holding Companies "/>
      <sheetName val="Amm Excl RO"/>
      <sheetName val="Amm"/>
      <sheetName val="AMM CLR"/>
      <sheetName val="JDA"/>
      <sheetName val="BGW"/>
      <sheetName val="BGD"/>
      <sheetName val="EBL"/>
      <sheetName val="BEY Excl Ro"/>
      <sheetName val="BEY"/>
      <sheetName val="RAM"/>
      <sheetName val="IST"/>
      <sheetName val="TBS"/>
      <sheetName val="CAI Excl RO"/>
      <sheetName val="CAI"/>
      <sheetName val="AEL"/>
      <sheetName val="KRT"/>
      <sheetName val="TIP"/>
      <sheetName val="ALG Excl RO"/>
      <sheetName val="ALG"/>
      <sheetName val="IFL"/>
      <sheetName val="CAS"/>
      <sheetName val="CAS LOG"/>
      <sheetName val="EBB"/>
      <sheetName val="IFU"/>
      <sheetName val="ACC Excl RO"/>
      <sheetName val="ACC"/>
      <sheetName val="LOS"/>
      <sheetName val="LOS FZE"/>
      <sheetName val="NBO Excl RO"/>
      <sheetName val="NBO"/>
      <sheetName val="DAR"/>
      <sheetName val="TUN"/>
      <sheetName val="TUN LOG"/>
      <sheetName val="TLZ"/>
      <sheetName val="PNT"/>
      <sheetName val="JNB Excl RO"/>
      <sheetName val="JNB"/>
      <sheetName val="KSA Excl RO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IFK"/>
      <sheetName val="KWI"/>
      <sheetName val="BAH"/>
      <sheetName val="DOH Excl RO"/>
      <sheetName val="DOH"/>
      <sheetName val="IFQ"/>
      <sheetName val="THR"/>
      <sheetName val="Aramex Smart SMH "/>
      <sheetName val="UK Excl RO"/>
      <sheetName val="UK"/>
      <sheetName val="NL"/>
      <sheetName val="IRL Excl RO"/>
      <sheetName val="IRL"/>
      <sheetName val="PAR"/>
      <sheetName val="MLA"/>
      <sheetName val="PRG"/>
      <sheetName val="BTS"/>
      <sheetName val="USA Excl RO &amp; USA Holding"/>
      <sheetName val="USA"/>
      <sheetName val="MyUS"/>
      <sheetName val="INS"/>
      <sheetName val="YYZ"/>
      <sheetName val="India Excl RO "/>
      <sheetName val="India"/>
      <sheetName val="India Freight"/>
      <sheetName val="CMB"/>
      <sheetName val="CMB Freight"/>
      <sheetName val="HKG Excl RO"/>
      <sheetName val="HKG"/>
      <sheetName val="DAC"/>
      <sheetName val="SIN Excl RO"/>
      <sheetName val="SIN"/>
      <sheetName val="KUL Excl RO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/>
      <sheetData sheetId="1">
        <row r="2">
          <cell r="B2" t="str">
            <v>2025 Vs 2024</v>
          </cell>
        </row>
        <row r="5">
          <cell r="C5">
            <v>1085742.698137199</v>
          </cell>
        </row>
        <row r="9">
          <cell r="C9">
            <v>790879.59659434669</v>
          </cell>
        </row>
        <row r="15">
          <cell r="C15">
            <v>263311.65740218299</v>
          </cell>
        </row>
        <row r="18">
          <cell r="C18">
            <v>27180.313592156988</v>
          </cell>
        </row>
        <row r="22">
          <cell r="C22">
            <v>93208.671194880517</v>
          </cell>
        </row>
      </sheetData>
      <sheetData sheetId="2" refreshError="1"/>
      <sheetData sheetId="3">
        <row r="5">
          <cell r="C5">
            <v>447109.52869388345</v>
          </cell>
          <cell r="H5">
            <v>136742.30209189159</v>
          </cell>
          <cell r="M5">
            <v>501890.86735142383</v>
          </cell>
          <cell r="R5">
            <v>487759.41124403779</v>
          </cell>
          <cell r="W5">
            <v>146149.31608962669</v>
          </cell>
        </row>
        <row r="9">
          <cell r="C9">
            <v>330054.25771928456</v>
          </cell>
          <cell r="H9">
            <v>69504.878687994526</v>
          </cell>
          <cell r="M9">
            <v>391320.46018706763</v>
          </cell>
          <cell r="R9">
            <v>426565.81356035679</v>
          </cell>
          <cell r="W9">
            <v>117664.18437386089</v>
          </cell>
        </row>
        <row r="15">
          <cell r="R15">
            <v>47253.761241919579</v>
          </cell>
          <cell r="W15">
            <v>19469.778749719469</v>
          </cell>
        </row>
        <row r="18">
          <cell r="R18">
            <v>13735.720070356361</v>
          </cell>
          <cell r="W18">
            <v>8268.2656449349433</v>
          </cell>
        </row>
        <row r="22">
          <cell r="R22">
            <v>22526.53495609777</v>
          </cell>
          <cell r="W22">
            <v>34794.096269128124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">
          <cell r="D5">
            <v>522277.2868615514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9">
          <cell r="C29">
            <v>5341631.2647024915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AT, IND, SSA"/>
      <sheetName val="GCC"/>
      <sheetName val="Europe &amp; USA"/>
      <sheetName val="Europe &amp; USA Organic"/>
      <sheetName val="Asia Pacific"/>
      <sheetName val="Global"/>
      <sheetName val="Q4'23 Vs Q4'22 &amp; Bud"/>
      <sheetName val="Q4'22 Vs Q4'22"/>
      <sheetName val="Dec'25 Vs Dec'24 &amp; Bud"/>
      <sheetName val="Q4'25 Vs Q4'24 &amp; Bud"/>
      <sheetName val="YTD'25 Vs YTD'24 &amp; Bud"/>
      <sheetName val="Sheet2"/>
      <sheetName val="RF 2022"/>
    </sheetNames>
    <sheetDataSet>
      <sheetData sheetId="0">
        <row r="8">
          <cell r="AE8">
            <v>118987.72880688061</v>
          </cell>
        </row>
      </sheetData>
      <sheetData sheetId="1">
        <row r="8">
          <cell r="AE8">
            <v>188718.45855521166</v>
          </cell>
        </row>
      </sheetData>
      <sheetData sheetId="2" refreshError="1"/>
      <sheetData sheetId="3">
        <row r="8">
          <cell r="AE8">
            <v>136210.26809864241</v>
          </cell>
        </row>
      </sheetData>
      <sheetData sheetId="4">
        <row r="8">
          <cell r="AE8">
            <v>60739.430669497277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8">
          <cell r="C8">
            <v>29964.616063407862</v>
          </cell>
          <cell r="D8">
            <v>36780.827645914971</v>
          </cell>
          <cell r="G8">
            <v>48015.993059377375</v>
          </cell>
          <cell r="H8">
            <v>49867.262896426182</v>
          </cell>
          <cell r="K8">
            <v>59802.923311418235</v>
          </cell>
          <cell r="L8">
            <v>60409.210720082279</v>
          </cell>
          <cell r="P8">
            <v>17376.716863974474</v>
          </cell>
          <cell r="Q8">
            <v>18933.174358598502</v>
          </cell>
          <cell r="T8">
            <v>1527.8751999999999</v>
          </cell>
          <cell r="U8">
            <v>1482.07194</v>
          </cell>
        </row>
        <row r="9">
          <cell r="C9">
            <v>24868.537943494091</v>
          </cell>
          <cell r="D9">
            <v>21914.812668561219</v>
          </cell>
          <cell r="G9">
            <v>51254.02057118871</v>
          </cell>
          <cell r="H9">
            <v>46820.875188286169</v>
          </cell>
          <cell r="K9">
            <v>38.367697224481809</v>
          </cell>
          <cell r="L9">
            <v>133.85902525415301</v>
          </cell>
          <cell r="P9">
            <v>65552.370763048209</v>
          </cell>
          <cell r="Q9">
            <v>62068.016003532088</v>
          </cell>
          <cell r="T9">
            <v>-25.777999999999999</v>
          </cell>
          <cell r="U9">
            <v>-52.765999999999998</v>
          </cell>
        </row>
        <row r="10">
          <cell r="C10">
            <v>26587.813141912458</v>
          </cell>
          <cell r="D10">
            <v>27578.60523891083</v>
          </cell>
          <cell r="G10">
            <v>66175.708816705446</v>
          </cell>
          <cell r="H10">
            <v>66805.840569046341</v>
          </cell>
          <cell r="K10">
            <v>26554.110419992161</v>
          </cell>
          <cell r="L10">
            <v>24996.696860475015</v>
          </cell>
          <cell r="P10">
            <v>4410.7522641229143</v>
          </cell>
          <cell r="Q10">
            <v>7090.8816069662262</v>
          </cell>
          <cell r="T10">
            <v>0</v>
          </cell>
          <cell r="U10">
            <v>0</v>
          </cell>
        </row>
        <row r="11">
          <cell r="C11">
            <v>10502.330597643375</v>
          </cell>
          <cell r="D11">
            <v>7781.3646351969974</v>
          </cell>
          <cell r="G11">
            <v>18691.665364290649</v>
          </cell>
          <cell r="H11">
            <v>18980.624138211748</v>
          </cell>
          <cell r="K11">
            <v>7414.4383961825097</v>
          </cell>
          <cell r="L11">
            <v>5024.9040512465617</v>
          </cell>
          <cell r="P11">
            <v>1092.8391271369755</v>
          </cell>
          <cell r="Q11">
            <v>1630.8498449600841</v>
          </cell>
          <cell r="T11">
            <v>0</v>
          </cell>
          <cell r="U11">
            <v>0</v>
          </cell>
        </row>
        <row r="12">
          <cell r="C12">
            <v>2433.3635651518653</v>
          </cell>
          <cell r="D12">
            <v>2036.4355179691888</v>
          </cell>
          <cell r="G12">
            <v>286.15909633179427</v>
          </cell>
          <cell r="H12">
            <v>471.29205159734073</v>
          </cell>
          <cell r="K12">
            <v>248.51934307271699</v>
          </cell>
          <cell r="L12">
            <v>643.96832910314959</v>
          </cell>
          <cell r="P12">
            <v>55.476164993264561</v>
          </cell>
          <cell r="Q12">
            <v>45.237804796009762</v>
          </cell>
          <cell r="T12">
            <v>103.36748</v>
          </cell>
          <cell r="U12">
            <v>117.85805000000001</v>
          </cell>
        </row>
        <row r="16">
          <cell r="C16">
            <v>25044.279829303883</v>
          </cell>
          <cell r="D16">
            <v>24748.726222035224</v>
          </cell>
          <cell r="G16">
            <v>45333.762194786119</v>
          </cell>
          <cell r="H16">
            <v>45548.234068671103</v>
          </cell>
          <cell r="K16">
            <v>15827.487213044345</v>
          </cell>
          <cell r="L16">
            <v>16603.557772686512</v>
          </cell>
          <cell r="P16">
            <v>16528.206491129251</v>
          </cell>
          <cell r="Q16">
            <v>14246.429617198757</v>
          </cell>
          <cell r="T16">
            <v>2167.951269049599</v>
          </cell>
          <cell r="U16">
            <v>7389.04104162577</v>
          </cell>
        </row>
      </sheetData>
      <sheetData sheetId="10">
        <row r="8">
          <cell r="C8">
            <v>118987.72880688061</v>
          </cell>
          <cell r="D8">
            <v>182214.85557128146</v>
          </cell>
          <cell r="G8">
            <v>188718.45855521166</v>
          </cell>
          <cell r="H8">
            <v>181401.13274109812</v>
          </cell>
          <cell r="K8">
            <v>209289.13920864242</v>
          </cell>
          <cell r="L8">
            <v>215365.97364959551</v>
          </cell>
          <cell r="P8">
            <v>60739.430669497277</v>
          </cell>
          <cell r="Q8">
            <v>73404.769259138047</v>
          </cell>
          <cell r="T8">
            <v>6117.0742399999999</v>
          </cell>
          <cell r="U8">
            <v>4500.3787999999986</v>
          </cell>
        </row>
        <row r="9">
          <cell r="C9">
            <v>88697.567562418888</v>
          </cell>
          <cell r="D9">
            <v>81403.160737401849</v>
          </cell>
          <cell r="G9">
            <v>197349.26038927265</v>
          </cell>
          <cell r="H9">
            <v>173546.19150630099</v>
          </cell>
          <cell r="K9">
            <v>157.19427661336192</v>
          </cell>
          <cell r="L9">
            <v>481.96390382767953</v>
          </cell>
          <cell r="P9">
            <v>215636.48417570538</v>
          </cell>
          <cell r="Q9">
            <v>203345.12304093625</v>
          </cell>
          <cell r="T9">
            <v>50.360999999999997</v>
          </cell>
          <cell r="U9">
            <v>189.78899999999999</v>
          </cell>
        </row>
        <row r="10">
          <cell r="C10">
            <v>100733.89759777466</v>
          </cell>
          <cell r="D10">
            <v>101450.23811787403</v>
          </cell>
          <cell r="G10">
            <v>266448.44699902844</v>
          </cell>
          <cell r="H10">
            <v>253753.42494277493</v>
          </cell>
          <cell r="K10">
            <v>99170.194364899507</v>
          </cell>
          <cell r="L10">
            <v>92024.440925211326</v>
          </cell>
          <cell r="P10">
            <v>21406.872521363181</v>
          </cell>
          <cell r="Q10">
            <v>22186.737289242163</v>
          </cell>
          <cell r="T10">
            <v>0</v>
          </cell>
          <cell r="U10">
            <v>0</v>
          </cell>
        </row>
        <row r="11">
          <cell r="C11">
            <v>36825.225395366528</v>
          </cell>
          <cell r="D11">
            <v>28293.007845205451</v>
          </cell>
          <cell r="G11">
            <v>77373.913860516841</v>
          </cell>
          <cell r="H11">
            <v>69270.300256163944</v>
          </cell>
          <cell r="K11">
            <v>27192.883567524528</v>
          </cell>
          <cell r="L11">
            <v>20903.302664574436</v>
          </cell>
          <cell r="P11">
            <v>4757.2937143819927</v>
          </cell>
          <cell r="Q11">
            <v>5510.342355915478</v>
          </cell>
          <cell r="T11">
            <v>0</v>
          </cell>
          <cell r="U11">
            <v>0</v>
          </cell>
        </row>
        <row r="12">
          <cell r="C12">
            <v>9031.8312005663138</v>
          </cell>
          <cell r="D12">
            <v>8360.8880477603325</v>
          </cell>
          <cell r="G12">
            <v>1181.4989724151212</v>
          </cell>
          <cell r="H12">
            <v>1897.0812488049023</v>
          </cell>
          <cell r="K12">
            <v>1226.1281246829642</v>
          </cell>
          <cell r="L12">
            <v>1717.146473423561</v>
          </cell>
          <cell r="P12">
            <v>147.4902174897903</v>
          </cell>
          <cell r="Q12">
            <v>328.94613546356265</v>
          </cell>
          <cell r="T12">
            <v>489.99442999999997</v>
          </cell>
          <cell r="U12">
            <v>512.48196999999993</v>
          </cell>
        </row>
        <row r="16">
          <cell r="C16">
            <v>93358.824084674969</v>
          </cell>
          <cell r="D16">
            <v>106011.05235514205</v>
          </cell>
          <cell r="G16">
            <v>173150.45331426823</v>
          </cell>
          <cell r="H16">
            <v>168080.15425981156</v>
          </cell>
          <cell r="K16">
            <v>57343.164776244281</v>
          </cell>
          <cell r="L16">
            <v>59746.647158521468</v>
          </cell>
          <cell r="P16">
            <v>47164.240846098422</v>
          </cell>
          <cell r="Q16">
            <v>50363.061318289459</v>
          </cell>
          <cell r="T16">
            <v>23654.077392773459</v>
          </cell>
          <cell r="U16">
            <v>27551.835953998216</v>
          </cell>
        </row>
      </sheetData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1yjlJT1bWE-GZd0JjEoqSJGgP4BtdGpPnqNPXUG5wbPT3qrXyXXTToVSJMUS1dQo" itemId="01Q35NDZUHWDQDNEHG5RF2SVU2SRBFOA33">
      <xxl21:absoluteUrl r:id="rId2"/>
    </xxl21:alternateUrls>
    <sheetNames>
      <sheetName val="Act'21 vs Bud'21-Month"/>
      <sheetName val="Act'21 vs Bud'21-QTD"/>
      <sheetName val="Act'21 vs Bud'21-YTD"/>
      <sheetName val="Act'21 vs Bud'21-Apr+May"/>
      <sheetName val="Act'21 vs Act'20-Month"/>
      <sheetName val="Act'21 vs Act'20-QTD"/>
      <sheetName val="Act'21 vs Act'20-YTD"/>
      <sheetName val="Act'21 vs Act'20-Apr+May"/>
      <sheetName val="Act'20 Month by Month"/>
      <sheetName val="Bonus Summary"/>
      <sheetName val="Act Vs last year and Bud"/>
      <sheetName val="Condensed P&amp;L"/>
      <sheetName val="Act'21 vs Bud'21-Month EBIT"/>
      <sheetName val="Act'21 vs Bud'21-QTD EBIT"/>
      <sheetName val="Act'21 vs Bud'21-YTD EBIT"/>
      <sheetName val="Act'21 vs Bud'21-Apr+May EBIT"/>
      <sheetName val="Act'21 vs Act'20-Month EBIT"/>
      <sheetName val="Act'21 vs Act'20-QTD EBIT"/>
      <sheetName val="Act'21 vs Act'20-YTD EBIT"/>
      <sheetName val="Act'21 vs Act'20-Apr+May EBIT"/>
      <sheetName val="vs Budget Template"/>
      <sheetName val="vs last year template"/>
      <sheetName val="Apr+May template"/>
      <sheetName val="2021 vs 2020 vs 19 "/>
      <sheetName val="EBITDA"/>
      <sheetName val="Bonus "/>
      <sheetName val="Commission"/>
      <sheetName val="Lease payments"/>
      <sheetName val="Ratio"/>
      <sheetName val="Report Data"/>
      <sheetName val="Report Info"/>
    </sheetNames>
    <sheetDataSet>
      <sheetData sheetId="0">
        <row r="27">
          <cell r="D27">
            <v>3025.4827060777739</v>
          </cell>
        </row>
      </sheetData>
      <sheetData sheetId="1"/>
      <sheetData sheetId="2">
        <row r="38">
          <cell r="F38">
            <v>124512.25683837317</v>
          </cell>
        </row>
      </sheetData>
      <sheetData sheetId="3"/>
      <sheetData sheetId="4">
        <row r="11">
          <cell r="D11">
            <v>58899.169033546503</v>
          </cell>
        </row>
      </sheetData>
      <sheetData sheetId="5">
        <row r="11">
          <cell r="D11">
            <v>274959.11761870037</v>
          </cell>
        </row>
      </sheetData>
      <sheetData sheetId="6">
        <row r="11">
          <cell r="D11">
            <v>309698.11971087364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E3" t="str">
            <v>May-2021</v>
          </cell>
        </row>
      </sheetData>
      <sheetData sheetId="3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3 vs Bud'23-Month"/>
      <sheetName val="Act'23 vs Bud'23-QTD"/>
      <sheetName val="Act'23 vs Bud'23-YTD"/>
      <sheetName val="Act'23 vs Act'22-Month"/>
      <sheetName val="Act'23 vs Act'22-QTD"/>
      <sheetName val="Act'23 vs Act'22-YTD"/>
      <sheetName val="Act'23 Month by Month"/>
      <sheetName val="Act'23 vs Bud'23-Month EBIT"/>
      <sheetName val="Act'23 vs Bud'23-QTD EBIT"/>
      <sheetName val="Act'23 vs Bud'23-YTD EBIT"/>
      <sheetName val="Act'23 vs Act'22-Month EBIT"/>
      <sheetName val="Act'23 vs Act'22-QTD EBIT"/>
      <sheetName val="Act'23 vs Act'22-YTD EBIT"/>
      <sheetName val="Extraordinary items - split"/>
      <sheetName val="vs Budget Template"/>
      <sheetName val="vs last year template"/>
      <sheetName val="2022 vs 2021 vs 20 "/>
      <sheetName val="Apr+May vs LY and Budget"/>
      <sheetName val="vs last year &amp; month"/>
      <sheetName val="EBITDA"/>
      <sheetName val="BEY Impact"/>
      <sheetName val="Bonus "/>
      <sheetName val="Commission"/>
      <sheetName val="Avg Rev &amp; Cost Dec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ct'24 vs Act'23-QTD"/>
    </sheetNames>
    <sheetDataSet>
      <sheetData sheetId="0">
        <row r="3">
          <cell r="B3" t="str">
            <v>Actual 2023 vs Bud 2023</v>
          </cell>
        </row>
      </sheetData>
      <sheetData sheetId="1">
        <row r="11">
          <cell r="D11">
            <v>178576.12670213435</v>
          </cell>
        </row>
      </sheetData>
      <sheetData sheetId="2">
        <row r="8">
          <cell r="D8" t="str">
            <v>For the period ended</v>
          </cell>
        </row>
      </sheetData>
      <sheetData sheetId="3">
        <row r="3">
          <cell r="B3" t="str">
            <v>Actual 2023 vs. 2022</v>
          </cell>
        </row>
      </sheetData>
      <sheetData sheetId="4">
        <row r="9">
          <cell r="D9" t="str">
            <v>Dec-2023</v>
          </cell>
        </row>
        <row r="73">
          <cell r="E73">
            <v>0.12953279078273386</v>
          </cell>
        </row>
      </sheetData>
      <sheetData sheetId="5">
        <row r="9">
          <cell r="D9" t="str">
            <v>Dec-2023</v>
          </cell>
        </row>
      </sheetData>
      <sheetData sheetId="6">
        <row r="49">
          <cell r="AZ49">
            <v>-41.255871673713145</v>
          </cell>
        </row>
      </sheetData>
      <sheetData sheetId="7">
        <row r="11">
          <cell r="F11">
            <v>74868.867023319341</v>
          </cell>
        </row>
      </sheetData>
      <sheetData sheetId="8">
        <row r="11">
          <cell r="F11">
            <v>215057.62970882718</v>
          </cell>
        </row>
      </sheetData>
      <sheetData sheetId="9">
        <row r="47">
          <cell r="F47">
            <v>-297.32411748562009</v>
          </cell>
        </row>
      </sheetData>
      <sheetData sheetId="10">
        <row r="11">
          <cell r="D11">
            <v>62438.998457696973</v>
          </cell>
        </row>
      </sheetData>
      <sheetData sheetId="11">
        <row r="11">
          <cell r="D11">
            <v>178576.12670213435</v>
          </cell>
        </row>
      </sheetData>
      <sheetData sheetId="12">
        <row r="11">
          <cell r="D11">
            <v>625010.00428555266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1">
          <cell r="C21">
            <v>15482178.394341813</v>
          </cell>
        </row>
      </sheetData>
      <sheetData sheetId="24">
        <row r="37">
          <cell r="AT37">
            <v>41664828.605099708</v>
          </cell>
        </row>
      </sheetData>
      <sheetData sheetId="25"/>
      <sheetData sheetId="26">
        <row r="44">
          <cell r="O44">
            <v>0</v>
          </cell>
        </row>
      </sheetData>
      <sheetData sheetId="27">
        <row r="95">
          <cell r="R95">
            <v>0</v>
          </cell>
        </row>
      </sheetData>
      <sheetData sheetId="28">
        <row r="3">
          <cell r="E3" t="str">
            <v>Dec-2023</v>
          </cell>
        </row>
      </sheetData>
      <sheetData sheetId="29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4 vs Bud'24-Month"/>
      <sheetName val="Act'24 vs Bud'24-QTD"/>
      <sheetName val="Act'24 vs Bud'24-YTD"/>
      <sheetName val="Act'24 vs Act'23-Month"/>
      <sheetName val="Act'24 vs Act'23-QTD"/>
      <sheetName val="Act'24 vs Act'23-YTD"/>
      <sheetName val="Act'24 Month by Month"/>
      <sheetName val="Act'24 vs Bud'24-Month EBIT"/>
      <sheetName val="Act'24 vs Bud'24-QTD EBIT"/>
      <sheetName val="Act'24 vs Bud'24-YTD EBIT"/>
      <sheetName val="Act'24 vs Act'23-Month EBIT"/>
      <sheetName val="Act'24 vs Act'23-QTD EBIT"/>
      <sheetName val="Act'24 vs Act'23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AFH"/>
      <sheetName val="Vs Last year&amp; Bud Excl Trendyol"/>
      <sheetName val="EBITDA"/>
      <sheetName val="BEY Impact"/>
      <sheetName val="Bonus "/>
      <sheetName val="Commission"/>
      <sheetName val="Avg Rev &amp; Cost Mar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vg Rev &amp; Cost Feb"/>
      <sheetName val="Act'23 vs Act'22-Month"/>
    </sheetNames>
    <sheetDataSet>
      <sheetData sheetId="0">
        <row r="3">
          <cell r="B3" t="str">
            <v>Actual 2023 vs Bud 2023</v>
          </cell>
        </row>
      </sheetData>
      <sheetData sheetId="1">
        <row r="3">
          <cell r="B3" t="str">
            <v>Actual 2023 vs Bud 2023</v>
          </cell>
        </row>
      </sheetData>
      <sheetData sheetId="2">
        <row r="14">
          <cell r="F14">
            <v>112980.7706039343</v>
          </cell>
        </row>
      </sheetData>
      <sheetData sheetId="3">
        <row r="3">
          <cell r="B3" t="str">
            <v>Actual 2023 vs. 2022</v>
          </cell>
        </row>
      </sheetData>
      <sheetData sheetId="4">
        <row r="3">
          <cell r="B3" t="str">
            <v>Actual 2023 vs. 2022</v>
          </cell>
        </row>
        <row r="73">
          <cell r="E73">
            <v>0.11759196544908526</v>
          </cell>
        </row>
      </sheetData>
      <sheetData sheetId="5">
        <row r="12">
          <cell r="D12">
            <v>3030.1690490682945</v>
          </cell>
        </row>
      </sheetData>
      <sheetData sheetId="6">
        <row r="49">
          <cell r="AH49">
            <v>122.65976012119513</v>
          </cell>
        </row>
      </sheetData>
      <sheetData sheetId="7">
        <row r="11">
          <cell r="F11">
            <v>53586.903090511463</v>
          </cell>
        </row>
      </sheetData>
      <sheetData sheetId="8">
        <row r="11">
          <cell r="F11">
            <v>151486.86527396814</v>
          </cell>
        </row>
      </sheetData>
      <sheetData sheetId="9">
        <row r="11">
          <cell r="F11">
            <v>151486.86527396814</v>
          </cell>
        </row>
      </sheetData>
      <sheetData sheetId="10">
        <row r="11">
          <cell r="D11">
            <v>69324.868668799973</v>
          </cell>
        </row>
      </sheetData>
      <sheetData sheetId="11">
        <row r="11">
          <cell r="D11">
            <v>175844.14024790918</v>
          </cell>
        </row>
      </sheetData>
      <sheetData sheetId="12">
        <row r="11">
          <cell r="D11">
            <v>175844.14024790918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N68">
            <v>1901773.7060634922</v>
          </cell>
        </row>
      </sheetData>
      <sheetData sheetId="24"/>
      <sheetData sheetId="25">
        <row r="21">
          <cell r="C21">
            <v>16424224.095683374</v>
          </cell>
        </row>
      </sheetData>
      <sheetData sheetId="26">
        <row r="37">
          <cell r="AZ37">
            <v>16223965.044632239</v>
          </cell>
        </row>
      </sheetData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1yjlJT1bWE-GZd0JjEoqSJGgP4BtdGpPnqNPXUG5wbPT3qrXyXXTToVSJMUS1dQo" itemId="01Q35NDZTIH6MS5VD6KBHYJPWCLA5ODH2V">
      <xxl21:absoluteUrl r:id="rId2"/>
    </xxl21:alternateUrls>
    <sheetNames>
      <sheetName val="Act'24 vs Bud'24-Month"/>
      <sheetName val="Act'24 vs Bud'24-QTD"/>
      <sheetName val="Act'24 vs Bud'24-YTD"/>
      <sheetName val="Act'24 vs Act'23-Month"/>
      <sheetName val="Act'24 vs Act'23-QTD"/>
      <sheetName val="Act'24 vs Act'23-YTD"/>
      <sheetName val="Act'24 Month by Month"/>
      <sheetName val="Act'24 vs Bud'24-Month EBIT"/>
      <sheetName val="Act'24 vs Bud'24-QTD EBIT"/>
      <sheetName val="Act'24 vs Bud'24-YTD EBIT"/>
      <sheetName val="Act'24 vs Act'23-Month EBIT"/>
      <sheetName val="Act'24 vs Act'23-QTD EBIT"/>
      <sheetName val="Act'24 vs Act'23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Jun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</sheetNames>
    <sheetDataSet>
      <sheetData sheetId="0">
        <row r="3">
          <cell r="B3" t="str">
            <v>Actual 2024 vs Bud 2024</v>
          </cell>
        </row>
      </sheetData>
      <sheetData sheetId="1">
        <row r="3">
          <cell r="B3" t="str">
            <v>Actual 2024 vs Bud 2024</v>
          </cell>
        </row>
      </sheetData>
      <sheetData sheetId="2">
        <row r="3">
          <cell r="B3" t="str">
            <v>Actual 2024 vs Bud 2024</v>
          </cell>
        </row>
      </sheetData>
      <sheetData sheetId="3">
        <row r="3">
          <cell r="B3" t="str">
            <v>Actual 2024 vs. 2023</v>
          </cell>
        </row>
      </sheetData>
      <sheetData sheetId="4">
        <row r="3">
          <cell r="B3" t="str">
            <v>Actual 2024 vs. 2023</v>
          </cell>
        </row>
        <row r="73">
          <cell r="E73">
            <v>9.017848286822544E-2</v>
          </cell>
        </row>
      </sheetData>
      <sheetData sheetId="5">
        <row r="3">
          <cell r="B3" t="str">
            <v>Actual 2024 vs. 2023</v>
          </cell>
        </row>
      </sheetData>
      <sheetData sheetId="6">
        <row r="49">
          <cell r="AN49">
            <v>144.72162729387725</v>
          </cell>
        </row>
      </sheetData>
      <sheetData sheetId="7">
        <row r="11">
          <cell r="F11">
            <v>51100.218267467237</v>
          </cell>
        </row>
      </sheetData>
      <sheetData sheetId="8">
        <row r="11">
          <cell r="F11">
            <v>155367.61641656689</v>
          </cell>
        </row>
      </sheetData>
      <sheetData sheetId="9">
        <row r="11">
          <cell r="F11">
            <v>306854.48169053497</v>
          </cell>
        </row>
      </sheetData>
      <sheetData sheetId="10">
        <row r="11">
          <cell r="D11">
            <v>49413.039544201667</v>
          </cell>
        </row>
      </sheetData>
      <sheetData sheetId="11">
        <row r="11">
          <cell r="D11">
            <v>160458.43774528205</v>
          </cell>
        </row>
      </sheetData>
      <sheetData sheetId="12">
        <row r="11">
          <cell r="D11">
            <v>336302.5779931912</v>
          </cell>
        </row>
      </sheetData>
      <sheetData sheetId="13"/>
      <sheetData sheetId="14">
        <row r="20">
          <cell r="J20">
            <v>22657.366765847662</v>
          </cell>
        </row>
      </sheetData>
      <sheetData sheetId="15"/>
      <sheetData sheetId="16"/>
      <sheetData sheetId="17"/>
      <sheetData sheetId="18">
        <row r="20">
          <cell r="L20">
            <v>21638.085517190306</v>
          </cell>
        </row>
      </sheetData>
      <sheetData sheetId="19"/>
      <sheetData sheetId="20"/>
      <sheetData sheetId="21"/>
      <sheetData sheetId="22">
        <row r="70">
          <cell r="Y70">
            <v>1954115.5935054794</v>
          </cell>
        </row>
      </sheetData>
      <sheetData sheetId="23"/>
      <sheetData sheetId="24">
        <row r="21">
          <cell r="C21">
            <v>14872895.751216747</v>
          </cell>
        </row>
      </sheetData>
      <sheetData sheetId="25">
        <row r="37">
          <cell r="BB37">
            <v>48885746.346460149</v>
          </cell>
        </row>
      </sheetData>
      <sheetData sheetId="26"/>
      <sheetData sheetId="27">
        <row r="44">
          <cell r="O44">
            <v>0</v>
          </cell>
        </row>
      </sheetData>
      <sheetData sheetId="28">
        <row r="109">
          <cell r="O109">
            <v>0</v>
          </cell>
        </row>
      </sheetData>
      <sheetData sheetId="29">
        <row r="3">
          <cell r="E3">
            <v>45444</v>
          </cell>
        </row>
      </sheetData>
      <sheetData sheetId="3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4 vs Bud'24-Month"/>
      <sheetName val="Act'24 vs Bud'24-QTD"/>
      <sheetName val="Act'24 vs Bud'24-YTD"/>
      <sheetName val="Act'24 vs Act'23-Month"/>
      <sheetName val="Act'24 vs Act'23-QTD"/>
      <sheetName val="Act'24 vs Act'23-YTD"/>
      <sheetName val="Act'24 Month by Month"/>
      <sheetName val="Act'24 vs Bud'24-Month EBIT"/>
      <sheetName val="Act'24 vs Bud'24-QTD EBIT"/>
      <sheetName val="Act'24 vs Bud'24-YTD EBIT"/>
      <sheetName val="Act'24 vs Act'23-Month EBIT"/>
      <sheetName val="Act'24 vs Act'23-QTD EBIT"/>
      <sheetName val="Act'24 vs Act'23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Sep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</sheetNames>
    <sheetDataSet>
      <sheetData sheetId="0">
        <row r="3">
          <cell r="B3" t="str">
            <v>Actual 2024 vs Bud 2024</v>
          </cell>
        </row>
      </sheetData>
      <sheetData sheetId="1">
        <row r="3">
          <cell r="B3" t="str">
            <v>Actual 2024 vs Bud 2024</v>
          </cell>
        </row>
      </sheetData>
      <sheetData sheetId="2">
        <row r="3">
          <cell r="B3" t="str">
            <v>Actual 2024 vs Bud 2024</v>
          </cell>
        </row>
      </sheetData>
      <sheetData sheetId="3">
        <row r="3">
          <cell r="B3" t="str">
            <v>Actual 2024 vs. 2023</v>
          </cell>
        </row>
      </sheetData>
      <sheetData sheetId="4">
        <row r="3">
          <cell r="B3" t="str">
            <v>Actual 2024 vs. 2023</v>
          </cell>
        </row>
        <row r="73">
          <cell r="E73">
            <v>9.8451384137138387E-2</v>
          </cell>
        </row>
      </sheetData>
      <sheetData sheetId="5">
        <row r="3">
          <cell r="B3" t="str">
            <v>Actual 2024 vs. 2023</v>
          </cell>
        </row>
      </sheetData>
      <sheetData sheetId="6">
        <row r="49">
          <cell r="AT49">
            <v>84.126945011755438</v>
          </cell>
        </row>
      </sheetData>
      <sheetData sheetId="7">
        <row r="11">
          <cell r="F11">
            <v>55695.557965494787</v>
          </cell>
        </row>
      </sheetData>
      <sheetData sheetId="8">
        <row r="11">
          <cell r="F11">
            <v>164249.99698567504</v>
          </cell>
        </row>
      </sheetData>
      <sheetData sheetId="9">
        <row r="11">
          <cell r="F11">
            <v>471104.47867621004</v>
          </cell>
        </row>
      </sheetData>
      <sheetData sheetId="10">
        <row r="11">
          <cell r="D11">
            <v>47507.861528541587</v>
          </cell>
        </row>
      </sheetData>
      <sheetData sheetId="11">
        <row r="11">
          <cell r="D11">
            <v>153111.98446689994</v>
          </cell>
        </row>
      </sheetData>
      <sheetData sheetId="12">
        <row r="11">
          <cell r="D11">
            <v>489414.5624600912</v>
          </cell>
        </row>
      </sheetData>
      <sheetData sheetId="13"/>
      <sheetData sheetId="14">
        <row r="20">
          <cell r="C20">
            <v>8290.1106959600093</v>
          </cell>
        </row>
      </sheetData>
      <sheetData sheetId="15"/>
      <sheetData sheetId="16"/>
      <sheetData sheetId="17"/>
      <sheetData sheetId="18">
        <row r="20">
          <cell r="C20">
            <v>8290.1106959600093</v>
          </cell>
        </row>
      </sheetData>
      <sheetData sheetId="19"/>
      <sheetData sheetId="20"/>
      <sheetData sheetId="21"/>
      <sheetData sheetId="22">
        <row r="66">
          <cell r="Y66">
            <v>2694000</v>
          </cell>
        </row>
      </sheetData>
      <sheetData sheetId="23"/>
      <sheetData sheetId="24">
        <row r="21">
          <cell r="C21">
            <v>17735060.471042644</v>
          </cell>
        </row>
      </sheetData>
      <sheetData sheetId="25">
        <row r="37">
          <cell r="BF37">
            <v>45270131.578556567</v>
          </cell>
        </row>
      </sheetData>
      <sheetData sheetId="26"/>
      <sheetData sheetId="27">
        <row r="44">
          <cell r="O44">
            <v>0</v>
          </cell>
        </row>
      </sheetData>
      <sheetData sheetId="28">
        <row r="109">
          <cell r="O109">
            <v>0</v>
          </cell>
        </row>
      </sheetData>
      <sheetData sheetId="29"/>
      <sheetData sheetId="3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4 vs Bud'24-Month"/>
      <sheetName val="Act'24 vs Bud'24-QTD"/>
      <sheetName val="Act'24 vs Bud'24-YTD"/>
      <sheetName val="Act'24 vs Act'23-Month"/>
      <sheetName val="Act'24 vs Act'23-QTD"/>
      <sheetName val="Act'24 vs Act'23-YTD"/>
      <sheetName val="Act'24 Month by Month"/>
      <sheetName val="Act'24 vs Bud'24-Month EBIT"/>
      <sheetName val="Act'24 vs Bud'24-QTD EBIT"/>
      <sheetName val="Act'24 vs Bud'24-YTD EBIT"/>
      <sheetName val="Act'24 vs Act'23-Month EBIT"/>
      <sheetName val="Act'24 vs Act'23-QTD EBIT"/>
      <sheetName val="Act'24 vs Act'23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Dec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ct'25 vs Act'24-QTD EBIT"/>
      <sheetName val="Act'23 vs Act'22-YTD"/>
    </sheetNames>
    <sheetDataSet>
      <sheetData sheetId="0">
        <row r="3">
          <cell r="B3" t="str">
            <v>Actual 2024 vs Bud 2024</v>
          </cell>
        </row>
      </sheetData>
      <sheetData sheetId="1">
        <row r="3">
          <cell r="B3" t="str">
            <v>Actual 2024 vs Bud 2024</v>
          </cell>
        </row>
      </sheetData>
      <sheetData sheetId="2">
        <row r="3">
          <cell r="B3" t="str">
            <v>Actual 2024 vs Bud 2024</v>
          </cell>
        </row>
      </sheetData>
      <sheetData sheetId="3">
        <row r="3">
          <cell r="B3" t="str">
            <v>Actual 2024 vs. 2023</v>
          </cell>
        </row>
      </sheetData>
      <sheetData sheetId="4">
        <row r="3">
          <cell r="B3" t="str">
            <v>Actual 2024 vs. 2023</v>
          </cell>
        </row>
        <row r="73">
          <cell r="E73">
            <v>0.10467062027211883</v>
          </cell>
        </row>
      </sheetData>
      <sheetData sheetId="5">
        <row r="3">
          <cell r="B3" t="str">
            <v>Actual 2024 vs. 2023</v>
          </cell>
        </row>
      </sheetData>
      <sheetData sheetId="6">
        <row r="11">
          <cell r="D11">
            <v>50148.295135711975</v>
          </cell>
        </row>
      </sheetData>
      <sheetData sheetId="7">
        <row r="11">
          <cell r="D11">
            <v>57022.482961420101</v>
          </cell>
        </row>
      </sheetData>
      <sheetData sheetId="8">
        <row r="11">
          <cell r="D11">
            <v>167472.54756102187</v>
          </cell>
        </row>
      </sheetData>
      <sheetData sheetId="9">
        <row r="11">
          <cell r="D11">
            <v>656887.11002111307</v>
          </cell>
        </row>
      </sheetData>
      <sheetData sheetId="10">
        <row r="11">
          <cell r="D11">
            <v>57022.482961420101</v>
          </cell>
        </row>
      </sheetData>
      <sheetData sheetId="11">
        <row r="11">
          <cell r="D11">
            <v>167472.54756102187</v>
          </cell>
        </row>
      </sheetData>
      <sheetData sheetId="12">
        <row r="11">
          <cell r="D11">
            <v>656887.11002111307</v>
          </cell>
        </row>
      </sheetData>
      <sheetData sheetId="13">
        <row r="11">
          <cell r="D11"/>
        </row>
      </sheetData>
      <sheetData sheetId="14">
        <row r="11">
          <cell r="D11"/>
        </row>
      </sheetData>
      <sheetData sheetId="15">
        <row r="11">
          <cell r="D11"/>
        </row>
      </sheetData>
      <sheetData sheetId="16">
        <row r="11">
          <cell r="D11"/>
        </row>
      </sheetData>
      <sheetData sheetId="17">
        <row r="11">
          <cell r="D11"/>
        </row>
      </sheetData>
      <sheetData sheetId="18">
        <row r="11">
          <cell r="D11"/>
        </row>
      </sheetData>
      <sheetData sheetId="19">
        <row r="11">
          <cell r="D11"/>
        </row>
      </sheetData>
      <sheetData sheetId="20"/>
      <sheetData sheetId="21">
        <row r="11">
          <cell r="D11"/>
        </row>
      </sheetData>
      <sheetData sheetId="22">
        <row r="11">
          <cell r="D11"/>
        </row>
      </sheetData>
      <sheetData sheetId="23">
        <row r="11">
          <cell r="D11">
            <v>5078.6206896551685</v>
          </cell>
        </row>
      </sheetData>
      <sheetData sheetId="24">
        <row r="11">
          <cell r="D11"/>
        </row>
      </sheetData>
      <sheetData sheetId="25">
        <row r="11">
          <cell r="D11"/>
        </row>
      </sheetData>
      <sheetData sheetId="26">
        <row r="11">
          <cell r="D11">
            <v>3.6825399999999999</v>
          </cell>
        </row>
      </sheetData>
      <sheetData sheetId="27">
        <row r="11">
          <cell r="D11"/>
        </row>
      </sheetData>
      <sheetData sheetId="28">
        <row r="11">
          <cell r="D11">
            <v>126.26279069767442</v>
          </cell>
        </row>
      </sheetData>
      <sheetData sheetId="29">
        <row r="11">
          <cell r="D11">
            <v>130884796.88563362</v>
          </cell>
        </row>
      </sheetData>
      <sheetData sheetId="30"/>
      <sheetData sheetId="31" refreshError="1"/>
      <sheetData sheetId="3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5 vs Bud'25-Month"/>
      <sheetName val="Act'25 vs Bud'25-QTD"/>
      <sheetName val="Act'25 vs Bud'25-YTD"/>
      <sheetName val="Act'25 vs Act'24-Month"/>
      <sheetName val="Act'25 vs Act'24-QTD"/>
      <sheetName val="Act'25 vs Act'24-YTD"/>
      <sheetName val="Act'25 Month by Month"/>
      <sheetName val="Act'25 vs Bud'25-Month EBIT"/>
      <sheetName val="Act'25 vs Bud'25-QTD EBIT"/>
      <sheetName val="Act'25 vs Bud'25-YTD EBIT"/>
      <sheetName val="Act'25 vs Act'24-Month EBIT"/>
      <sheetName val="Act'25 vs Act'24-QTD EBIT"/>
      <sheetName val="Act'25 vs Act'24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Mar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vg Rev &amp; Cost Feb"/>
    </sheetNames>
    <sheetDataSet>
      <sheetData sheetId="0">
        <row r="3">
          <cell r="B3" t="str">
            <v>Actual 2025 vs Bud 2025</v>
          </cell>
        </row>
      </sheetData>
      <sheetData sheetId="1">
        <row r="3">
          <cell r="B3" t="str">
            <v>Actual 2025 vs Bud 2025</v>
          </cell>
        </row>
      </sheetData>
      <sheetData sheetId="2">
        <row r="11">
          <cell r="D11">
            <v>152510.42896711844</v>
          </cell>
        </row>
      </sheetData>
      <sheetData sheetId="3">
        <row r="3">
          <cell r="B3" t="str">
            <v>Actual 2025 vs. 2024</v>
          </cell>
        </row>
      </sheetData>
      <sheetData sheetId="4">
        <row r="3">
          <cell r="B3" t="str">
            <v>Actual 2025 vs. 2024</v>
          </cell>
        </row>
        <row r="73">
          <cell r="E73">
            <v>9.4015904800755043E-2</v>
          </cell>
        </row>
      </sheetData>
      <sheetData sheetId="5">
        <row r="11">
          <cell r="F11">
            <v>175844.14024790918</v>
          </cell>
        </row>
      </sheetData>
      <sheetData sheetId="6">
        <row r="48">
          <cell r="AF48">
            <v>1823.18022</v>
          </cell>
        </row>
      </sheetData>
      <sheetData sheetId="7">
        <row r="11">
          <cell r="F11">
            <v>58701.402944365313</v>
          </cell>
        </row>
      </sheetData>
      <sheetData sheetId="8">
        <row r="11">
          <cell r="F11">
            <v>162715.59563362377</v>
          </cell>
        </row>
      </sheetData>
      <sheetData sheetId="9">
        <row r="11">
          <cell r="F11">
            <v>162715.59563362377</v>
          </cell>
        </row>
      </sheetData>
      <sheetData sheetId="10">
        <row r="11">
          <cell r="D11">
            <v>56806.176702104465</v>
          </cell>
        </row>
      </sheetData>
      <sheetData sheetId="11">
        <row r="11">
          <cell r="D11">
            <v>152510.42896711844</v>
          </cell>
        </row>
      </sheetData>
      <sheetData sheetId="12">
        <row r="11">
          <cell r="D11">
            <v>152510.42896711844</v>
          </cell>
        </row>
      </sheetData>
      <sheetData sheetId="13"/>
      <sheetData sheetId="14">
        <row r="20">
          <cell r="C20">
            <v>8291.8652628624495</v>
          </cell>
        </row>
      </sheetData>
      <sheetData sheetId="15"/>
      <sheetData sheetId="16"/>
      <sheetData sheetId="17"/>
      <sheetData sheetId="18">
        <row r="10">
          <cell r="J10">
            <v>425588.73578438727</v>
          </cell>
        </row>
      </sheetData>
      <sheetData sheetId="19"/>
      <sheetData sheetId="20"/>
      <sheetData sheetId="21"/>
      <sheetData sheetId="22"/>
      <sheetData sheetId="23"/>
      <sheetData sheetId="24">
        <row r="21">
          <cell r="C21">
            <v>17544895.302275211</v>
          </cell>
        </row>
      </sheetData>
      <sheetData sheetId="25">
        <row r="37">
          <cell r="BN37">
            <v>51470709.802270494</v>
          </cell>
        </row>
      </sheetData>
      <sheetData sheetId="26"/>
      <sheetData sheetId="27"/>
      <sheetData sheetId="28"/>
      <sheetData sheetId="29">
        <row r="3">
          <cell r="E3" t="str">
            <v>Mar-2025</v>
          </cell>
        </row>
      </sheetData>
      <sheetData sheetId="30"/>
      <sheetData sheetId="3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5 vs Bud'25-Month"/>
      <sheetName val="Act'25 vs Bud'25-QTD"/>
      <sheetName val="Act'25 vs Bud'25-YTD"/>
      <sheetName val="Act'25 vs Act'24-Month"/>
      <sheetName val="Act'25 vs Act'24-QTD"/>
      <sheetName val="Act'25 vs Act'24-YTD"/>
      <sheetName val="Act'25 Month by Month"/>
      <sheetName val="Act'25 vs Bud'25-Month EBIT"/>
      <sheetName val="Act'25 vs Bud'25-QTD EBIT"/>
      <sheetName val="Act'25 vs Bud'25-YTD EBIT"/>
      <sheetName val="Act'25 vs Act'24-Month EBIT"/>
      <sheetName val="Act'25 vs Act'24-QTD EBIT"/>
      <sheetName val="Act'25 vs Act'24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Jun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</sheetNames>
    <sheetDataSet>
      <sheetData sheetId="0">
        <row r="3">
          <cell r="B3" t="str">
            <v>Actual 2025 vs Bud 2025</v>
          </cell>
        </row>
      </sheetData>
      <sheetData sheetId="1">
        <row r="3">
          <cell r="B3" t="str">
            <v>Actual 2025 vs Bud 2025</v>
          </cell>
        </row>
      </sheetData>
      <sheetData sheetId="2">
        <row r="3">
          <cell r="B3" t="str">
            <v>Actual 2025 vs Bud 2025</v>
          </cell>
        </row>
      </sheetData>
      <sheetData sheetId="3">
        <row r="3">
          <cell r="B3" t="str">
            <v>Actual 2025 vs. 2024</v>
          </cell>
        </row>
      </sheetData>
      <sheetData sheetId="4">
        <row r="3">
          <cell r="B3" t="str">
            <v>Actual 2025 vs. 2024</v>
          </cell>
        </row>
        <row r="73">
          <cell r="E73">
            <v>6.9972411655654515E-2</v>
          </cell>
        </row>
      </sheetData>
      <sheetData sheetId="5">
        <row r="3">
          <cell r="B3" t="str">
            <v>Actual 2025 vs. 2024</v>
          </cell>
        </row>
      </sheetData>
      <sheetData sheetId="6">
        <row r="11">
          <cell r="D11">
            <v>55886.774611087538</v>
          </cell>
        </row>
      </sheetData>
      <sheetData sheetId="7">
        <row r="11">
          <cell r="D11">
            <v>41686.064336370495</v>
          </cell>
        </row>
      </sheetData>
      <sheetData sheetId="8"/>
      <sheetData sheetId="9"/>
      <sheetData sheetId="10">
        <row r="11">
          <cell r="D11">
            <v>41686.064336370495</v>
          </cell>
        </row>
      </sheetData>
      <sheetData sheetId="11">
        <row r="11">
          <cell r="D11">
            <v>134633.83949373721</v>
          </cell>
        </row>
      </sheetData>
      <sheetData sheetId="12">
        <row r="11">
          <cell r="D11">
            <v>287144.26846085564</v>
          </cell>
        </row>
      </sheetData>
      <sheetData sheetId="13"/>
      <sheetData sheetId="14">
        <row r="20">
          <cell r="C20">
            <v>6989.6485739568507</v>
          </cell>
        </row>
      </sheetData>
      <sheetData sheetId="15"/>
      <sheetData sheetId="16"/>
      <sheetData sheetId="17"/>
      <sheetData sheetId="18">
        <row r="10">
          <cell r="J10">
            <v>407800.88361012639</v>
          </cell>
        </row>
      </sheetData>
      <sheetData sheetId="19"/>
      <sheetData sheetId="20"/>
      <sheetData sheetId="21"/>
      <sheetData sheetId="22"/>
      <sheetData sheetId="23"/>
      <sheetData sheetId="24">
        <row r="21">
          <cell r="C21">
            <v>15060717.995623073</v>
          </cell>
        </row>
      </sheetData>
      <sheetData sheetId="25">
        <row r="37">
          <cell r="BR37">
            <v>49593902.810533501</v>
          </cell>
        </row>
      </sheetData>
      <sheetData sheetId="26"/>
      <sheetData sheetId="27"/>
      <sheetData sheetId="28"/>
      <sheetData sheetId="29"/>
      <sheetData sheetId="3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5 vs Bud'25-Month"/>
      <sheetName val="Act'25 vs Bud'25-QTD"/>
      <sheetName val="Act'25 vs Bud'25-YTD"/>
      <sheetName val="Act'25 vs Act'24-Month"/>
      <sheetName val="Act'25 vs Act'24-QTD"/>
      <sheetName val="Act'25 vs Act'24-YTD"/>
      <sheetName val="Act'25 Month by Month"/>
      <sheetName val="Act'25 vs Bud'25-Month EBIT"/>
      <sheetName val="Act'25 vs Bud'25-QTD EBIT"/>
      <sheetName val="Act'25 vs Bud'25-YTD EBIT"/>
      <sheetName val="Act'25 vs Act'24-Month EBIT"/>
      <sheetName val="Act'25 vs Act'24-QTD EBIT"/>
      <sheetName val="Act'25 vs Act'24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vs last year By Nature"/>
      <sheetName val="EBITDA"/>
      <sheetName val="BEY Impact"/>
      <sheetName val="Bonus "/>
      <sheetName val="Commission"/>
      <sheetName val="Avg Rev &amp; Cost Sep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vg Rev &amp; Cost Aug"/>
      <sheetName val="Act'24 vs Act'23-YTD"/>
    </sheetNames>
    <sheetDataSet>
      <sheetData sheetId="0">
        <row r="3">
          <cell r="B3" t="str">
            <v>Actual 2025 vs Bud 2025</v>
          </cell>
        </row>
      </sheetData>
      <sheetData sheetId="1">
        <row r="3">
          <cell r="B3" t="str">
            <v>Actual 2025 vs Bud 2025</v>
          </cell>
        </row>
      </sheetData>
      <sheetData sheetId="2">
        <row r="3">
          <cell r="B3" t="str">
            <v>Actual 2025 vs Bud 2025</v>
          </cell>
        </row>
      </sheetData>
      <sheetData sheetId="3">
        <row r="3">
          <cell r="B3" t="str">
            <v>Actual 2025 vs. 2024</v>
          </cell>
        </row>
      </sheetData>
      <sheetData sheetId="4">
        <row r="3">
          <cell r="B3" t="str">
            <v>Actual 2025 vs. 2024</v>
          </cell>
        </row>
        <row r="73">
          <cell r="E73">
            <v>0.10245562369161779</v>
          </cell>
        </row>
      </sheetData>
      <sheetData sheetId="5">
        <row r="3">
          <cell r="B3" t="str">
            <v>Actual 2025 vs. 2024</v>
          </cell>
        </row>
      </sheetData>
      <sheetData sheetId="6">
        <row r="48">
          <cell r="AR48">
            <v>0</v>
          </cell>
        </row>
      </sheetData>
      <sheetData sheetId="7">
        <row r="11">
          <cell r="F11">
            <v>56859.050495274132</v>
          </cell>
        </row>
      </sheetData>
      <sheetData sheetId="8">
        <row r="11">
          <cell r="F11">
            <v>169706.85411206647</v>
          </cell>
        </row>
      </sheetData>
      <sheetData sheetId="9">
        <row r="11">
          <cell r="F11">
            <v>497043.2475911642</v>
          </cell>
        </row>
      </sheetData>
      <sheetData sheetId="10">
        <row r="11">
          <cell r="D11">
            <v>46875.580875597167</v>
          </cell>
        </row>
      </sheetData>
      <sheetData sheetId="11">
        <row r="11">
          <cell r="D11">
            <v>140019.4385211984</v>
          </cell>
        </row>
      </sheetData>
      <sheetData sheetId="12">
        <row r="11">
          <cell r="D11">
            <v>427163.70698205399</v>
          </cell>
        </row>
      </sheetData>
      <sheetData sheetId="13"/>
      <sheetData sheetId="14">
        <row r="20">
          <cell r="J20">
            <v>23287.399823715259</v>
          </cell>
        </row>
      </sheetData>
      <sheetData sheetId="15"/>
      <sheetData sheetId="16"/>
      <sheetData sheetId="17"/>
      <sheetData sheetId="18">
        <row r="10">
          <cell r="J10">
            <v>435406.56320506881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1">
          <cell r="G21">
            <v>50572171.66580838</v>
          </cell>
        </row>
      </sheetData>
      <sheetData sheetId="26">
        <row r="37">
          <cell r="AA37">
            <v>17239331.424208365</v>
          </cell>
        </row>
      </sheetData>
      <sheetData sheetId="27"/>
      <sheetData sheetId="28"/>
      <sheetData sheetId="29"/>
      <sheetData sheetId="30">
        <row r="3">
          <cell r="E3" t="str">
            <v>Sep-2025</v>
          </cell>
        </row>
      </sheetData>
      <sheetData sheetId="31"/>
      <sheetData sheetId="32" refreshError="1"/>
      <sheetData sheetId="3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5 vs Bud'25-Month"/>
      <sheetName val="Act'25 vs Bud'25-QTD"/>
      <sheetName val="Act'25 vs Bud'25-YTD"/>
      <sheetName val="Act'25 vs Act'24-Month"/>
      <sheetName val="Act'25 vs Act'24-QTD"/>
      <sheetName val="Act'25 vs Act'24-YTD"/>
      <sheetName val="Act'25 Month by Month"/>
      <sheetName val="Act'25 vs Bud'25-Month EBIT"/>
      <sheetName val="Act'25 vs Bud'25-QTD EBIT"/>
      <sheetName val="Act'25 vs Bud'25-YTD EBIT"/>
      <sheetName val="Act'25 vs Act'24-Month EBIT"/>
      <sheetName val="Act'25 vs Act'24-QTD EBIT"/>
      <sheetName val="Act'25 vs Act'24-YTD EBIT"/>
      <sheetName val="Extraordinary items - split"/>
      <sheetName val="vs Budget Template"/>
      <sheetName val="vs last year template"/>
      <sheetName val="2022 vs 2021 vs 20 "/>
      <sheetName val="Apr+May vs LY and Budget"/>
      <sheetName val="vs last year &amp; month"/>
      <sheetName val="Vs Last year&amp; Bud Excl Trendyol"/>
      <sheetName val="vs last year By Nature"/>
      <sheetName val="EBITDA"/>
      <sheetName val="BEY Impact"/>
      <sheetName val="Bonus "/>
      <sheetName val="Commission"/>
      <sheetName val="Avg Rev &amp; Cost Dec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</sheetNames>
    <sheetDataSet>
      <sheetData sheetId="0"/>
      <sheetData sheetId="1"/>
      <sheetData sheetId="2"/>
      <sheetData sheetId="3"/>
      <sheetData sheetId="4">
        <row r="73">
          <cell r="E73">
            <v>9.0208161950150384E-2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'22 vs Act'21-Month"/>
      <sheetName val="Act'22 vs Bud'22-Month"/>
      <sheetName val="Act'22 vs Bud'22-QTD"/>
      <sheetName val="Act'22 vs Bud'22-YTD"/>
      <sheetName val="Act'22 vs Act'21-QTD"/>
      <sheetName val="Act'22 vs Act'21-YTD"/>
      <sheetName val="Act'22 Month by Month"/>
      <sheetName val="Act'22 vs Bud'22-Month EBIT"/>
      <sheetName val="Act'22 vs Bud'22-QTD EBIT"/>
      <sheetName val="Act'22 vs Bud'22-YTD EBIT"/>
      <sheetName val="Act'22 vs Act'21-Month EBIT"/>
      <sheetName val="Act'22 vs Act'21-QTD EBIT"/>
      <sheetName val="Act'22 vs Act'21-YTD EBIT"/>
      <sheetName val="Extraordinary items - split"/>
      <sheetName val="Extraordinary items"/>
      <sheetName val="Sheet1"/>
      <sheetName val="vs Budget Template"/>
      <sheetName val="vs last year template"/>
      <sheetName val="2022 vs 2021 vs 20 "/>
      <sheetName val="EBITDA"/>
      <sheetName val="BEY Impact"/>
      <sheetName val="Bonus "/>
      <sheetName val="Commission"/>
      <sheetName val="Avg Rev &amp; Cost Dec"/>
      <sheetName val="Avg Rev &amp; Cost per Month-data"/>
      <sheetName val="Other Revenue &amp; Cost Allocation"/>
      <sheetName val="FW other revenue &amp; Cost"/>
      <sheetName val="Report Data"/>
      <sheetName val="Report Info"/>
      <sheetName val="Normalizations Impact-Q4-Organi"/>
      <sheetName val="Normalizations Impact-YTD-Organ"/>
    </sheetNames>
    <sheetDataSet>
      <sheetData sheetId="0">
        <row r="28">
          <cell r="D28">
            <v>130740.88973456628</v>
          </cell>
        </row>
      </sheetData>
      <sheetData sheetId="1">
        <row r="11">
          <cell r="F11">
            <v>76745.979674528513</v>
          </cell>
        </row>
      </sheetData>
      <sheetData sheetId="2">
        <row r="11">
          <cell r="X11">
            <v>19920.774679999999</v>
          </cell>
        </row>
      </sheetData>
      <sheetData sheetId="3">
        <row r="11">
          <cell r="F11">
            <v>803901.43551965046</v>
          </cell>
        </row>
      </sheetData>
      <sheetData sheetId="4">
        <row r="11">
          <cell r="D11">
            <v>145506.69547721327</v>
          </cell>
        </row>
      </sheetData>
      <sheetData sheetId="5">
        <row r="11">
          <cell r="D11">
            <v>592420.63642031956</v>
          </cell>
        </row>
      </sheetData>
      <sheetData sheetId="6" refreshError="1"/>
      <sheetData sheetId="7">
        <row r="29">
          <cell r="D29">
            <v>130740.88973456628</v>
          </cell>
        </row>
      </sheetData>
      <sheetData sheetId="8">
        <row r="8">
          <cell r="D8" t="str">
            <v>For 3 months ended</v>
          </cell>
        </row>
      </sheetData>
      <sheetData sheetId="9">
        <row r="8">
          <cell r="D8" t="str">
            <v>For the period ended</v>
          </cell>
        </row>
      </sheetData>
      <sheetData sheetId="10">
        <row r="3">
          <cell r="B3" t="str">
            <v>Actual 2022 vs. 2021</v>
          </cell>
        </row>
      </sheetData>
      <sheetData sheetId="11" refreshError="1"/>
      <sheetData sheetId="12" refreshError="1"/>
      <sheetData sheetId="13" refreshError="1"/>
      <sheetData sheetId="14">
        <row r="88">
          <cell r="C88">
            <v>6719.9667047156163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9">
          <cell r="R9">
            <v>62.701700000000002</v>
          </cell>
        </row>
      </sheetData>
      <sheetData sheetId="26">
        <row r="20">
          <cell r="R20">
            <v>11869.225800153165</v>
          </cell>
        </row>
      </sheetData>
      <sheetData sheetId="27">
        <row r="7">
          <cell r="F7">
            <v>635014826.09339154</v>
          </cell>
        </row>
      </sheetData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Rate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BITDA"/>
      <sheetName val="Minorities &amp; Disc Ops"/>
      <sheetName val="Geographic Ownership"/>
      <sheetName val="Underlying P&amp;L"/>
      <sheetName val="X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3.6726000000000001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Dec YTD'23 Exc Info"/>
      <sheetName val="Dec YTD 23 Package-AED  Exc Inf"/>
      <sheetName val="IS package 4th Qrt'23 Exc Info"/>
      <sheetName val="Dec Qrt 23 Package-AED  Exc Inf"/>
      <sheetName val="Comprehensive Income Dec YTD'23"/>
      <sheetName val="Comprehensive Income 4th Qrt'23"/>
      <sheetName val="Changes in Equity 4thQrt'23"/>
      <sheetName val="Provisions"/>
      <sheetName val="W.P PJSC"/>
      <sheetName val="B.S PJSC"/>
      <sheetName val="PJSC Detailed C.F 4th Qrt'23"/>
      <sheetName val="C.F Final as Financials"/>
      <sheetName val="Sheet PJSC"/>
      <sheetName val="Sheet Info"/>
      <sheetName val="Cash disclosure"/>
      <sheetName val="Deposits Dec'23"/>
      <sheetName val="Deposits Sep'22"/>
      <sheetName val="OCI movement"/>
      <sheetName val="MYUS opening balance"/>
      <sheetName val="Working capital per segement"/>
      <sheetName val="CF Working"/>
      <sheetName val="4th YTD 23 Package-AED  Exc Inf"/>
    </sheetNames>
    <sheetDataSet>
      <sheetData sheetId="0">
        <row r="12">
          <cell r="C12">
            <v>5694022.317213106</v>
          </cell>
        </row>
        <row r="13">
          <cell r="C13">
            <v>-4267092.6779991025</v>
          </cell>
        </row>
        <row r="15">
          <cell r="C15">
            <v>-308452.69999461155</v>
          </cell>
        </row>
        <row r="16">
          <cell r="C16">
            <v>-19812.40692579584</v>
          </cell>
        </row>
        <row r="17">
          <cell r="C17">
            <v>-226.80508559999998</v>
          </cell>
        </row>
        <row r="18">
          <cell r="C18">
            <v>-845127.73146962549</v>
          </cell>
        </row>
        <row r="19">
          <cell r="C19"/>
        </row>
        <row r="20">
          <cell r="C20">
            <v>13350.598202536114</v>
          </cell>
        </row>
        <row r="23">
          <cell r="C23">
            <v>8367.2050232442307</v>
          </cell>
        </row>
        <row r="24">
          <cell r="C24">
            <v>-128151.98761537918</v>
          </cell>
        </row>
        <row r="25">
          <cell r="C25">
            <v>5572.1588299032837</v>
          </cell>
        </row>
        <row r="27">
          <cell r="C27">
            <v>-22713.372668421682</v>
          </cell>
        </row>
        <row r="31">
          <cell r="C31">
            <v>-1328.8957151279592</v>
          </cell>
        </row>
        <row r="32">
          <cell r="C32"/>
        </row>
        <row r="37">
          <cell r="C37">
            <v>130625.70548775788</v>
          </cell>
        </row>
        <row r="38">
          <cell r="C38">
            <v>-1328.8979921399591</v>
          </cell>
        </row>
        <row r="41">
          <cell r="C41">
            <v>-891.10808906793704</v>
          </cell>
        </row>
      </sheetData>
      <sheetData sheetId="1">
        <row r="7">
          <cell r="I7">
            <v>3100.6002120799226</v>
          </cell>
        </row>
      </sheetData>
      <sheetData sheetId="2"/>
      <sheetData sheetId="3">
        <row r="7">
          <cell r="I7">
            <v>684.93599597589025</v>
          </cell>
        </row>
      </sheetData>
      <sheetData sheetId="4">
        <row r="15">
          <cell r="C15">
            <v>-34375.945351681054</v>
          </cell>
        </row>
      </sheetData>
      <sheetData sheetId="5"/>
      <sheetData sheetId="6">
        <row r="12">
          <cell r="Q12">
            <v>-856.3682652127992</v>
          </cell>
        </row>
      </sheetData>
      <sheetData sheetId="7"/>
      <sheetData sheetId="8">
        <row r="11">
          <cell r="C11">
            <v>575210.29244472948</v>
          </cell>
        </row>
      </sheetData>
      <sheetData sheetId="9">
        <row r="10">
          <cell r="C10">
            <v>881142.12245780369</v>
          </cell>
        </row>
        <row r="11">
          <cell r="C11">
            <v>863981.79160646477</v>
          </cell>
        </row>
        <row r="12">
          <cell r="C12">
            <v>1750190.7033648121</v>
          </cell>
        </row>
        <row r="13">
          <cell r="C13">
            <v>309935.02390400699</v>
          </cell>
        </row>
        <row r="14">
          <cell r="C14">
            <v>35006.683160751934</v>
          </cell>
        </row>
        <row r="15">
          <cell r="C15">
            <v>17574.192445400557</v>
          </cell>
        </row>
        <row r="16">
          <cell r="C16">
            <v>26109.599514391179</v>
          </cell>
        </row>
        <row r="17">
          <cell r="C17">
            <v>7019.0151633756832</v>
          </cell>
        </row>
        <row r="21">
          <cell r="C21">
            <v>1090467.8744692479</v>
          </cell>
        </row>
        <row r="22">
          <cell r="C22">
            <v>266303.68496322649</v>
          </cell>
        </row>
        <row r="23">
          <cell r="C23">
            <v>8021.0490463693286</v>
          </cell>
        </row>
        <row r="24">
          <cell r="C24">
            <v>567189.24339836009</v>
          </cell>
        </row>
        <row r="26">
          <cell r="C26">
            <v>4898.3015131627399</v>
          </cell>
        </row>
        <row r="30">
          <cell r="C30">
            <v>1464100.0004904012</v>
          </cell>
        </row>
        <row r="31">
          <cell r="C31">
            <v>500813.97132662067</v>
          </cell>
        </row>
        <row r="32">
          <cell r="C32">
            <v>-560017.06468192616</v>
          </cell>
        </row>
        <row r="33">
          <cell r="C33">
            <v>-336985.87682925095</v>
          </cell>
        </row>
        <row r="34">
          <cell r="C34">
            <v>-12015.339216443281</v>
          </cell>
        </row>
        <row r="35">
          <cell r="C35">
            <v>1405470.3010672617</v>
          </cell>
        </row>
        <row r="37">
          <cell r="C37">
            <v>2461365.992156663</v>
          </cell>
        </row>
        <row r="38">
          <cell r="C38">
            <v>6554.4241120929082</v>
          </cell>
        </row>
        <row r="43">
          <cell r="C43">
            <v>1067335.0496541616</v>
          </cell>
        </row>
        <row r="44">
          <cell r="C44">
            <v>771905.81678478431</v>
          </cell>
        </row>
        <row r="45">
          <cell r="C45">
            <v>169967.95069779558</v>
          </cell>
        </row>
        <row r="46">
          <cell r="C46">
            <v>36197.741469329972</v>
          </cell>
        </row>
        <row r="47">
          <cell r="C47">
            <v>13001.57919601896</v>
          </cell>
        </row>
        <row r="51">
          <cell r="C51">
            <v>326363.56282089197</v>
          </cell>
        </row>
        <row r="52">
          <cell r="C52">
            <v>176679.68501838078</v>
          </cell>
        </row>
        <row r="53">
          <cell r="C53">
            <v>2847.8825614364423</v>
          </cell>
        </row>
        <row r="54">
          <cell r="C54">
            <v>48505.220927523114</v>
          </cell>
        </row>
        <row r="55">
          <cell r="C55">
            <v>36675.583937892967</v>
          </cell>
        </row>
        <row r="56">
          <cell r="C56">
            <v>47673.997270599772</v>
          </cell>
        </row>
        <row r="57">
          <cell r="C57">
            <v>659839.73154725286</v>
          </cell>
        </row>
        <row r="59">
          <cell r="C59">
            <v>2925.0663582312336</v>
          </cell>
        </row>
      </sheetData>
      <sheetData sheetId="10">
        <row r="13">
          <cell r="C13">
            <v>113345.90846682701</v>
          </cell>
        </row>
      </sheetData>
      <sheetData sheetId="11">
        <row r="9">
          <cell r="C9">
            <v>152447.97017867517</v>
          </cell>
        </row>
        <row r="10">
          <cell r="C10">
            <v>-1449.8421823139593</v>
          </cell>
        </row>
        <row r="14">
          <cell r="C14">
            <v>113621.52508742501</v>
          </cell>
        </row>
        <row r="15">
          <cell r="C15">
            <v>235852.23298875414</v>
          </cell>
        </row>
        <row r="16">
          <cell r="C16">
            <v>13562.684546823964</v>
          </cell>
        </row>
        <row r="17">
          <cell r="C17">
            <v>33757.807371225666</v>
          </cell>
        </row>
        <row r="18">
          <cell r="C18">
            <v>20157.72931076384</v>
          </cell>
        </row>
        <row r="19">
          <cell r="C19">
            <v>70389.471799009159</v>
          </cell>
        </row>
        <row r="20">
          <cell r="C20">
            <v>49582.444086265794</v>
          </cell>
        </row>
        <row r="21">
          <cell r="C21">
            <v>-5572.1588299032837</v>
          </cell>
        </row>
        <row r="23">
          <cell r="C23">
            <v>1160.2158707363099</v>
          </cell>
        </row>
        <row r="24">
          <cell r="C24">
            <v>0</v>
          </cell>
        </row>
        <row r="25">
          <cell r="C25">
            <v>-1246.9578779999999</v>
          </cell>
        </row>
        <row r="26">
          <cell r="C26">
            <v>0</v>
          </cell>
        </row>
        <row r="29">
          <cell r="C29">
            <v>19735.423417099515</v>
          </cell>
        </row>
        <row r="30">
          <cell r="C30">
            <v>2962.4156035287601</v>
          </cell>
        </row>
        <row r="31">
          <cell r="C31">
            <v>-30451.902982950607</v>
          </cell>
        </row>
        <row r="32">
          <cell r="C32">
            <v>-22567.496729400227</v>
          </cell>
        </row>
        <row r="33">
          <cell r="C33">
            <v>-80511.368786730265</v>
          </cell>
        </row>
        <row r="34">
          <cell r="C34">
            <v>-2958.4208039810401</v>
          </cell>
        </row>
        <row r="38">
          <cell r="C38">
            <v>-25997.234166173945</v>
          </cell>
        </row>
        <row r="39">
          <cell r="C39">
            <v>-34357.319818209551</v>
          </cell>
        </row>
        <row r="43">
          <cell r="C43">
            <v>-128012.96454729525</v>
          </cell>
        </row>
        <row r="44">
          <cell r="C44">
            <v>11287.141138800001</v>
          </cell>
        </row>
        <row r="45">
          <cell r="C45">
            <v>5156.594745921986</v>
          </cell>
        </row>
        <row r="47">
          <cell r="C47">
            <v>8367.2050232442307</v>
          </cell>
        </row>
        <row r="48">
          <cell r="C48">
            <v>4.9862181918115311E-2</v>
          </cell>
        </row>
        <row r="49">
          <cell r="C49">
            <v>36082.3125</v>
          </cell>
        </row>
        <row r="50">
          <cell r="C50">
            <v>5731.3617279115779</v>
          </cell>
        </row>
        <row r="51">
          <cell r="C51">
            <v>-1107.0151633756832</v>
          </cell>
        </row>
        <row r="52">
          <cell r="C52">
            <v>-140.87833085127437</v>
          </cell>
        </row>
        <row r="53">
          <cell r="C53">
            <v>1777.822395005164</v>
          </cell>
        </row>
        <row r="59">
          <cell r="C59">
            <v>-109031.03559761918</v>
          </cell>
        </row>
        <row r="60">
          <cell r="C60">
            <v>34635.533731224801</v>
          </cell>
        </row>
        <row r="61">
          <cell r="C61">
            <v>-56540.07744660278</v>
          </cell>
        </row>
        <row r="62">
          <cell r="C62">
            <v>-226274.93052423574</v>
          </cell>
        </row>
        <row r="63">
          <cell r="C63">
            <v>-1.8071621060785099</v>
          </cell>
        </row>
        <row r="65">
          <cell r="C65">
            <v>-139579.87599999999</v>
          </cell>
        </row>
        <row r="66">
          <cell r="C66">
            <v>-7639.0079999999998</v>
          </cell>
        </row>
        <row r="71">
          <cell r="C71">
            <v>-6087.1956305906024</v>
          </cell>
        </row>
        <row r="72">
          <cell r="C72">
            <v>627600.10830645578</v>
          </cell>
        </row>
      </sheetData>
      <sheetData sheetId="12">
        <row r="13">
          <cell r="D13">
            <v>0</v>
          </cell>
        </row>
      </sheetData>
      <sheetData sheetId="13">
        <row r="14">
          <cell r="H14">
            <v>3781908.9420969845</v>
          </cell>
        </row>
      </sheetData>
      <sheetData sheetId="14">
        <row r="4">
          <cell r="C4">
            <v>575391.1707755808</v>
          </cell>
        </row>
      </sheetData>
      <sheetData sheetId="15"/>
      <sheetData sheetId="16"/>
      <sheetData sheetId="17">
        <row r="10">
          <cell r="E10">
            <v>-119.32786309758207</v>
          </cell>
        </row>
      </sheetData>
      <sheetData sheetId="18"/>
      <sheetData sheetId="19"/>
      <sheetData sheetId="20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1st Qrt'24 Exc Info"/>
      <sheetName val="1st Qrt 24 Package-AED  Exc Inf"/>
      <sheetName val="IS package 4th Qrt'23 Exc Info"/>
      <sheetName val="Dec Qrt 23 Package-AED  Exc Inf"/>
      <sheetName val="Comprehensive Income 1st Qrt'24"/>
      <sheetName val="Comprehensive Income 4th Qrt'23"/>
      <sheetName val="Changes in Equity 1stQrt'24"/>
      <sheetName val="Provisions"/>
      <sheetName val="B.S PJSC"/>
      <sheetName val="W.P PJSC"/>
      <sheetName val="PJSC Detailed C.F 1st Qrt'24"/>
      <sheetName val="C.F Final as Financials"/>
      <sheetName val="Sheet PJSC"/>
      <sheetName val="Sheet Info"/>
      <sheetName val="Cash disclosure"/>
      <sheetName val="Deposits Mar'24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>
        <row r="12">
          <cell r="C12">
            <v>1540700.6575151267</v>
          </cell>
        </row>
        <row r="13">
          <cell r="C13">
            <v>-1145300.0316436354</v>
          </cell>
        </row>
        <row r="15">
          <cell r="C15">
            <v>-81060.546702155159</v>
          </cell>
        </row>
        <row r="16">
          <cell r="C16">
            <v>-6235.5650533830667</v>
          </cell>
        </row>
        <row r="17">
          <cell r="C17">
            <v>-4.6568568000000008</v>
          </cell>
        </row>
        <row r="18">
          <cell r="C18">
            <v>-218744.26121254172</v>
          </cell>
        </row>
        <row r="19">
          <cell r="C19"/>
        </row>
        <row r="20">
          <cell r="C20">
            <v>3051.2437238215953</v>
          </cell>
        </row>
        <row r="23">
          <cell r="C23">
            <v>1019.2795049527581</v>
          </cell>
        </row>
        <row r="24">
          <cell r="C24">
            <v>-31351.42835082909</v>
          </cell>
        </row>
        <row r="25">
          <cell r="C25">
            <v>691.53127061743362</v>
          </cell>
        </row>
        <row r="27">
          <cell r="C27">
            <v>-15741.925977850309</v>
          </cell>
        </row>
        <row r="31">
          <cell r="C31">
            <v>-284.25333868520545</v>
          </cell>
        </row>
        <row r="32">
          <cell r="C32"/>
        </row>
        <row r="37">
          <cell r="C37">
            <v>46849.109590275613</v>
          </cell>
        </row>
        <row r="38">
          <cell r="C38">
            <v>-284.25337541120564</v>
          </cell>
        </row>
        <row r="41">
          <cell r="C41">
            <v>175.18666377410992</v>
          </cell>
        </row>
      </sheetData>
      <sheetData sheetId="1"/>
      <sheetData sheetId="2"/>
      <sheetData sheetId="3"/>
      <sheetData sheetId="4">
        <row r="15">
          <cell r="C15">
            <v>-23676.026239945986</v>
          </cell>
        </row>
      </sheetData>
      <sheetData sheetId="5"/>
      <sheetData sheetId="6"/>
      <sheetData sheetId="7"/>
      <sheetData sheetId="8">
        <row r="10">
          <cell r="C10">
            <v>854716.60761358775</v>
          </cell>
        </row>
        <row r="11">
          <cell r="C11">
            <v>841861.61923992017</v>
          </cell>
        </row>
        <row r="12">
          <cell r="C12">
            <v>1771401.8137398167</v>
          </cell>
        </row>
        <row r="13">
          <cell r="C13">
            <v>313626.15449613071</v>
          </cell>
        </row>
        <row r="14">
          <cell r="C14">
            <v>35054.875617855971</v>
          </cell>
        </row>
        <row r="15">
          <cell r="C15">
            <v>17749.859830927981</v>
          </cell>
        </row>
        <row r="16">
          <cell r="C16">
            <v>28814.956686400667</v>
          </cell>
        </row>
        <row r="17">
          <cell r="C17">
            <v>10829.374651192376</v>
          </cell>
        </row>
        <row r="21">
          <cell r="C21">
            <v>1063943.4819076052</v>
          </cell>
        </row>
        <row r="22">
          <cell r="C22">
            <v>287727.6830909726</v>
          </cell>
        </row>
        <row r="23">
          <cell r="C23">
            <v>7726.3949177156719</v>
          </cell>
        </row>
        <row r="24">
          <cell r="C24">
            <v>563509.07544126781</v>
          </cell>
        </row>
        <row r="26">
          <cell r="C26">
            <v>4221.3100452591771</v>
          </cell>
        </row>
        <row r="30">
          <cell r="C30">
            <v>1464100.0004904012</v>
          </cell>
        </row>
        <row r="31">
          <cell r="C31">
            <v>500813.97132662078</v>
          </cell>
        </row>
        <row r="32">
          <cell r="C32">
            <v>-585987.27493268764</v>
          </cell>
        </row>
        <row r="33">
          <cell r="C33">
            <v>-336985.87682925095</v>
          </cell>
        </row>
        <row r="34">
          <cell r="C34">
            <v>-11835.26911460567</v>
          </cell>
        </row>
        <row r="35">
          <cell r="C35">
            <v>1452035.1507781483</v>
          </cell>
        </row>
        <row r="37">
          <cell r="C37">
            <v>2482140.7017186261</v>
          </cell>
        </row>
        <row r="38">
          <cell r="C38">
            <v>6393.9920872263665</v>
          </cell>
        </row>
        <row r="43">
          <cell r="C43">
            <v>1030809.2332337081</v>
          </cell>
        </row>
        <row r="44">
          <cell r="C44">
            <v>741381.52301525639</v>
          </cell>
        </row>
        <row r="45">
          <cell r="C45">
            <v>177289.11765624973</v>
          </cell>
        </row>
        <row r="46">
          <cell r="C46">
            <v>34304.380216095284</v>
          </cell>
        </row>
        <row r="47">
          <cell r="C47">
            <v>11845.790703026922</v>
          </cell>
        </row>
        <row r="51">
          <cell r="C51">
            <v>330174.36706142186</v>
          </cell>
        </row>
        <row r="52">
          <cell r="C52">
            <v>171720.06006144168</v>
          </cell>
        </row>
        <row r="53">
          <cell r="C53">
            <v>5038.5982292214321</v>
          </cell>
        </row>
        <row r="54">
          <cell r="C54">
            <v>37827.939401332427</v>
          </cell>
        </row>
        <row r="55">
          <cell r="C55">
            <v>45965.860476819478</v>
          </cell>
        </row>
        <row r="56">
          <cell r="C56">
            <v>42215.222869669284</v>
          </cell>
        </row>
        <row r="57">
          <cell r="C57">
            <v>681516.24871896021</v>
          </cell>
        </row>
        <row r="59">
          <cell r="C59">
            <v>2560.1725490087683</v>
          </cell>
        </row>
      </sheetData>
      <sheetData sheetId="9"/>
      <sheetData sheetId="10"/>
      <sheetData sheetId="11">
        <row r="9">
          <cell r="C9">
            <v>62766.222195174138</v>
          </cell>
        </row>
        <row r="10">
          <cell r="C10">
            <v>-315.83707434320547</v>
          </cell>
        </row>
        <row r="14">
          <cell r="C14">
            <v>28592.252072493553</v>
          </cell>
        </row>
        <row r="15">
          <cell r="C15">
            <v>57192.491273514497</v>
          </cell>
        </row>
        <row r="16">
          <cell r="C16">
            <v>3471.7888127689116</v>
          </cell>
        </row>
        <row r="17">
          <cell r="C17">
            <v>11455.756728560737</v>
          </cell>
        </row>
        <row r="18">
          <cell r="C18">
            <v>5950.4228101650669</v>
          </cell>
        </row>
        <row r="19">
          <cell r="C19">
            <v>17569.459086268966</v>
          </cell>
        </row>
        <row r="20">
          <cell r="C20">
            <v>12795.886280829363</v>
          </cell>
        </row>
        <row r="21">
          <cell r="C21">
            <v>-691.53127061743362</v>
          </cell>
        </row>
        <row r="23">
          <cell r="C23">
            <v>-158.85445557643763</v>
          </cell>
        </row>
        <row r="24">
          <cell r="C24">
            <v>0</v>
          </cell>
        </row>
        <row r="25">
          <cell r="C25">
            <v>-135.8054028</v>
          </cell>
        </row>
        <row r="26">
          <cell r="C26">
            <v>0</v>
          </cell>
        </row>
        <row r="29">
          <cell r="C29">
            <v>20825.425759205631</v>
          </cell>
        </row>
        <row r="30">
          <cell r="C30">
            <v>3806.2121464102925</v>
          </cell>
        </row>
        <row r="31">
          <cell r="C31">
            <v>-22914.273707637389</v>
          </cell>
        </row>
        <row r="32">
          <cell r="C32">
            <v>-5458.7771303307163</v>
          </cell>
        </row>
        <row r="33">
          <cell r="C33">
            <v>20214.694801817717</v>
          </cell>
        </row>
        <row r="34">
          <cell r="C34">
            <v>-1156.2092969730784</v>
          </cell>
        </row>
        <row r="38">
          <cell r="C38">
            <v>-4082.1906404910819</v>
          </cell>
        </row>
        <row r="39">
          <cell r="C39">
            <v>-2084.4636203354335</v>
          </cell>
        </row>
        <row r="43">
          <cell r="C43">
            <v>-26779.131840469348</v>
          </cell>
        </row>
        <row r="44">
          <cell r="C44">
            <v>-21378.51028205494</v>
          </cell>
        </row>
        <row r="45">
          <cell r="C45">
            <v>-1560.855</v>
          </cell>
        </row>
        <row r="46">
          <cell r="C46">
            <v>2010.1393282305141</v>
          </cell>
        </row>
        <row r="48">
          <cell r="C48">
            <v>1019.2795049527581</v>
          </cell>
        </row>
        <row r="49">
          <cell r="C49">
            <v>1.0868729754577089E-2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-3810.3746511923764</v>
          </cell>
        </row>
        <row r="53">
          <cell r="C53">
            <v>-4.6552003888728848</v>
          </cell>
        </row>
        <row r="54">
          <cell r="C54">
            <v>294.65412865365647</v>
          </cell>
        </row>
        <row r="60">
          <cell r="C60">
            <v>-33979.395590421089</v>
          </cell>
        </row>
        <row r="61">
          <cell r="C61">
            <v>33390.208253085177</v>
          </cell>
        </row>
        <row r="62">
          <cell r="C62">
            <v>-70588.769332641008</v>
          </cell>
        </row>
        <row r="63">
          <cell r="C63">
            <v>-91996.483673626848</v>
          </cell>
        </row>
        <row r="64">
          <cell r="C64">
            <v>0</v>
          </cell>
        </row>
        <row r="66">
          <cell r="C66">
            <v>0</v>
          </cell>
        </row>
        <row r="67">
          <cell r="C67">
            <v>0</v>
          </cell>
        </row>
        <row r="72">
          <cell r="C72">
            <v>-129.54503590490458</v>
          </cell>
        </row>
        <row r="73">
          <cell r="C73">
            <v>564340.55911071319</v>
          </cell>
        </row>
      </sheetData>
      <sheetData sheetId="12"/>
      <sheetData sheetId="13"/>
      <sheetData sheetId="14">
        <row r="4">
          <cell r="C4">
            <v>571421.00389022368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Jun YTD'24 Exc Info"/>
      <sheetName val="Jun YTD 24 Package-AED  Exc Inf"/>
      <sheetName val="IS package 2nd Qrt'24 Exc Info"/>
      <sheetName val="2nd Qrt 24 Package-AED  Exc Inf"/>
      <sheetName val="Comprehensive Income Jun YTD'24"/>
      <sheetName val="Comprehensive Income 2nd Qrt'24"/>
      <sheetName val="Changes in Equity 2ndQrt'24"/>
      <sheetName val="Provisions"/>
      <sheetName val="B.S PJSC"/>
      <sheetName val="W.P PJSC"/>
      <sheetName val="PJSC Detailed C.F 2nd Qrt'24"/>
      <sheetName val="C.F Final as Financials"/>
      <sheetName val="Sheet PJSC"/>
      <sheetName val="Sheet Info"/>
      <sheetName val="Cash disclosure"/>
      <sheetName val="Deposits Jun'24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/>
      <sheetData sheetId="1"/>
      <sheetData sheetId="2">
        <row r="12">
          <cell r="C12">
            <v>1496254.7168045281</v>
          </cell>
        </row>
        <row r="13">
          <cell r="C13">
            <v>-1151123.4276573537</v>
          </cell>
        </row>
        <row r="15">
          <cell r="C15">
            <v>-83428.226084624766</v>
          </cell>
        </row>
        <row r="16">
          <cell r="C16">
            <v>-4422.3256357375849</v>
          </cell>
        </row>
        <row r="17">
          <cell r="C17">
            <v>13.6290186</v>
          </cell>
        </row>
        <row r="18">
          <cell r="C18">
            <v>-216953.99865474366</v>
          </cell>
        </row>
        <row r="19">
          <cell r="C19">
            <v>0</v>
          </cell>
        </row>
        <row r="20">
          <cell r="C20">
            <v>6621.4547618493361</v>
          </cell>
        </row>
        <row r="23">
          <cell r="C23">
            <v>1580.8113013704788</v>
          </cell>
        </row>
        <row r="24">
          <cell r="C24">
            <v>-30502.360294526236</v>
          </cell>
        </row>
        <row r="25">
          <cell r="C25">
            <v>220.17170557605871</v>
          </cell>
        </row>
        <row r="27">
          <cell r="C27">
            <v>-14908.962182461704</v>
          </cell>
        </row>
        <row r="31">
          <cell r="C31">
            <v>-267.35304049398258</v>
          </cell>
        </row>
        <row r="37">
          <cell r="C37">
            <v>3160.5026874397081</v>
          </cell>
        </row>
        <row r="38">
          <cell r="C38">
            <v>-267.35304049398246</v>
          </cell>
        </row>
        <row r="41">
          <cell r="C41">
            <v>190.98039503667349</v>
          </cell>
        </row>
      </sheetData>
      <sheetData sheetId="3"/>
      <sheetData sheetId="4">
        <row r="15">
          <cell r="C15">
            <v>-28679.460711324184</v>
          </cell>
        </row>
      </sheetData>
      <sheetData sheetId="5"/>
      <sheetData sheetId="6">
        <row r="12">
          <cell r="U12">
            <v>-520.8102490280246</v>
          </cell>
        </row>
      </sheetData>
      <sheetData sheetId="7"/>
      <sheetData sheetId="8">
        <row r="10">
          <cell r="C10">
            <v>853787.12644458865</v>
          </cell>
        </row>
        <row r="11">
          <cell r="C11">
            <v>832344.34019118443</v>
          </cell>
        </row>
        <row r="12">
          <cell r="C12">
            <v>1771401.8137682467</v>
          </cell>
        </row>
        <row r="13">
          <cell r="C13">
            <v>310086.5410460268</v>
          </cell>
        </row>
        <row r="14">
          <cell r="C14">
            <v>35113.130490044838</v>
          </cell>
        </row>
        <row r="15">
          <cell r="C15">
            <v>17897.547894905329</v>
          </cell>
        </row>
        <row r="16">
          <cell r="C16">
            <v>30410.142010669315</v>
          </cell>
        </row>
        <row r="17">
          <cell r="C17">
            <v>10535.385686552721</v>
          </cell>
        </row>
        <row r="21">
          <cell r="C21">
            <v>1018068.6071437825</v>
          </cell>
        </row>
        <row r="22">
          <cell r="C22">
            <v>2889.3856741184482</v>
          </cell>
        </row>
        <row r="23">
          <cell r="C23">
            <v>307994.73968162382</v>
          </cell>
        </row>
        <row r="24">
          <cell r="C24">
            <v>7790.6964969079545</v>
          </cell>
        </row>
        <row r="25">
          <cell r="C25">
            <v>448913.97156125103</v>
          </cell>
        </row>
        <row r="27">
          <cell r="C27">
            <v>3689.4376031983566</v>
          </cell>
        </row>
        <row r="31">
          <cell r="C31">
            <v>1464100.0004904012</v>
          </cell>
        </row>
        <row r="32">
          <cell r="C32">
            <v>-2751.4369179577952</v>
          </cell>
        </row>
        <row r="33">
          <cell r="C33">
            <v>-4359.4507020285855</v>
          </cell>
        </row>
        <row r="34">
          <cell r="C34">
            <v>500813.97132662078</v>
          </cell>
        </row>
        <row r="35">
          <cell r="C35">
            <v>-588222.45489730954</v>
          </cell>
        </row>
        <row r="36">
          <cell r="C36">
            <v>-336985.87682925095</v>
          </cell>
        </row>
        <row r="37">
          <cell r="C37">
            <v>-11675.412550541419</v>
          </cell>
        </row>
        <row r="38">
          <cell r="C38">
            <v>1454928.301242688</v>
          </cell>
        </row>
        <row r="40">
          <cell r="C40">
            <v>2475847.6411626213</v>
          </cell>
        </row>
        <row r="41">
          <cell r="C41">
            <v>4668.1983820472415</v>
          </cell>
        </row>
        <row r="46">
          <cell r="C46">
            <v>950736.57666213613</v>
          </cell>
        </row>
        <row r="47">
          <cell r="C47">
            <v>741125.47064263374</v>
          </cell>
        </row>
        <row r="48">
          <cell r="C48">
            <v>180533.48927764926</v>
          </cell>
        </row>
        <row r="49">
          <cell r="C49">
            <v>37842.599492883091</v>
          </cell>
        </row>
        <row r="50">
          <cell r="C50">
            <v>11590.575406102367</v>
          </cell>
        </row>
        <row r="54">
          <cell r="C54">
            <v>302309.07726790349</v>
          </cell>
        </row>
        <row r="55">
          <cell r="C55">
            <v>173242.0666403659</v>
          </cell>
        </row>
        <row r="56">
          <cell r="C56">
            <v>6313.947161011266</v>
          </cell>
        </row>
        <row r="57">
          <cell r="C57">
            <v>36908.809376909674</v>
          </cell>
        </row>
        <row r="58">
          <cell r="C58">
            <v>35438.521751662163</v>
          </cell>
        </row>
        <row r="59">
          <cell r="C59">
            <v>31543.650679150447</v>
          </cell>
        </row>
        <row r="60">
          <cell r="C60">
            <v>660656.4423698606</v>
          </cell>
        </row>
        <row r="62">
          <cell r="C62">
            <v>2165.8002083786305</v>
          </cell>
        </row>
      </sheetData>
      <sheetData sheetId="9">
        <row r="11">
          <cell r="C11">
            <v>456704.668058159</v>
          </cell>
        </row>
      </sheetData>
      <sheetData sheetId="10">
        <row r="13">
          <cell r="C13">
            <v>56778.114950064519</v>
          </cell>
        </row>
      </sheetData>
      <sheetData sheetId="11">
        <row r="9">
          <cell r="C9">
            <v>81026.666999567635</v>
          </cell>
        </row>
        <row r="10">
          <cell r="C10">
            <v>-612.89601338918817</v>
          </cell>
        </row>
        <row r="14">
          <cell r="C14">
            <v>56914.298006322519</v>
          </cell>
        </row>
        <row r="15">
          <cell r="C15">
            <v>113790.12397352007</v>
          </cell>
        </row>
        <row r="16">
          <cell r="C16">
            <v>7009.6181384849451</v>
          </cell>
        </row>
        <row r="17">
          <cell r="C17">
            <v>19358.317578848691</v>
          </cell>
        </row>
        <row r="18">
          <cell r="C18">
            <v>10414.42926074065</v>
          </cell>
        </row>
        <row r="19">
          <cell r="C19">
            <v>33758.438167513057</v>
          </cell>
        </row>
        <row r="20">
          <cell r="C20">
            <v>25556.048840527037</v>
          </cell>
        </row>
        <row r="21">
          <cell r="C21">
            <v>-911.7029761934923</v>
          </cell>
        </row>
        <row r="23">
          <cell r="C23">
            <v>21.551893239883473</v>
          </cell>
        </row>
        <row r="24">
          <cell r="C24">
            <v>0</v>
          </cell>
        </row>
        <row r="25">
          <cell r="C25">
            <v>-572.9586534</v>
          </cell>
        </row>
        <row r="26">
          <cell r="C26">
            <v>0</v>
          </cell>
        </row>
        <row r="29">
          <cell r="C29">
            <v>62228.566278089958</v>
          </cell>
        </row>
        <row r="30">
          <cell r="C30">
            <v>-23948.249596908074</v>
          </cell>
        </row>
        <row r="31">
          <cell r="C31">
            <v>-41579.52416719708</v>
          </cell>
        </row>
        <row r="32">
          <cell r="C32">
            <v>-16130.349320849553</v>
          </cell>
        </row>
        <row r="33">
          <cell r="C33">
            <v>-841.14053755307305</v>
          </cell>
        </row>
        <row r="34">
          <cell r="C34">
            <v>-1411.4245938976328</v>
          </cell>
        </row>
        <row r="38">
          <cell r="C38">
            <v>-8669.9508682403375</v>
          </cell>
        </row>
        <row r="39">
          <cell r="C39">
            <v>-24418.07382630706</v>
          </cell>
        </row>
        <row r="43">
          <cell r="C43">
            <v>-56291.152330022647</v>
          </cell>
        </row>
        <row r="44">
          <cell r="C44">
            <v>-23127.324771167896</v>
          </cell>
        </row>
        <row r="45">
          <cell r="C45">
            <v>-1560.855</v>
          </cell>
        </row>
        <row r="46">
          <cell r="C46">
            <v>4455.8599499846769</v>
          </cell>
        </row>
        <row r="48">
          <cell r="C48">
            <v>2600.0908063232368</v>
          </cell>
        </row>
        <row r="49">
          <cell r="C49">
            <v>1.6172053407558451E-2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-3516.3856865527214</v>
          </cell>
        </row>
        <row r="53">
          <cell r="C53">
            <v>8.9739594043361706</v>
          </cell>
        </row>
        <row r="54">
          <cell r="C54">
            <v>-1342.8976975575042</v>
          </cell>
        </row>
        <row r="55">
          <cell r="C55">
            <v>230.35254946137479</v>
          </cell>
        </row>
        <row r="61">
          <cell r="C61">
            <v>-64112.54300090333</v>
          </cell>
        </row>
        <row r="62">
          <cell r="C62">
            <v>33778.630390439175</v>
          </cell>
        </row>
        <row r="63">
          <cell r="C63">
            <v>-155353.78685068447</v>
          </cell>
        </row>
        <row r="64">
          <cell r="C64">
            <v>-10000</v>
          </cell>
        </row>
        <row r="65">
          <cell r="C65">
            <v>-131793.84254379928</v>
          </cell>
        </row>
        <row r="66">
          <cell r="C66">
            <v>-388.68600552599287</v>
          </cell>
        </row>
        <row r="68">
          <cell r="C68">
            <v>0</v>
          </cell>
        </row>
        <row r="69">
          <cell r="C69">
            <v>0</v>
          </cell>
        </row>
        <row r="74">
          <cell r="C74">
            <v>-6309.8489814806599</v>
          </cell>
        </row>
        <row r="75">
          <cell r="C75">
            <v>564340.55911071319</v>
          </cell>
        </row>
      </sheetData>
      <sheetData sheetId="12">
        <row r="17">
          <cell r="F17">
            <v>19610888.997624561</v>
          </cell>
        </row>
      </sheetData>
      <sheetData sheetId="13"/>
      <sheetData sheetId="14">
        <row r="4">
          <cell r="C4">
            <v>456876.57242960593</v>
          </cell>
        </row>
      </sheetData>
      <sheetData sheetId="15"/>
      <sheetData sheetId="16"/>
      <sheetData sheetId="17">
        <row r="10">
          <cell r="E10">
            <v>14.080726398244053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B325B-E0D0-464D-8BAD-9986BD29D38E}">
  <dimension ref="A1:BI50"/>
  <sheetViews>
    <sheetView showGridLines="0" tabSelected="1" zoomScaleNormal="100" workbookViewId="0">
      <selection activeCell="D28" sqref="D28"/>
    </sheetView>
  </sheetViews>
  <sheetFormatPr defaultColWidth="9.140625" defaultRowHeight="12.75" x14ac:dyDescent="0.2"/>
  <cols>
    <col min="1" max="2" width="9.140625" style="20"/>
    <col min="3" max="3" width="25.5703125" style="20" bestFit="1" customWidth="1"/>
    <col min="4" max="16384" width="9.140625" style="20"/>
  </cols>
  <sheetData>
    <row r="1" spans="1:61" x14ac:dyDescent="0.2">
      <c r="A1" s="154">
        <v>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</row>
    <row r="2" spans="1:61" x14ac:dyDescent="0.2">
      <c r="A2" s="154">
        <f>1/3.6726</f>
        <v>0.27228666339922669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</row>
    <row r="3" spans="1:61" x14ac:dyDescent="0.2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</row>
    <row r="4" spans="1:61" x14ac:dyDescent="0.2">
      <c r="A4" s="154" t="str">
        <f>B5</f>
        <v>AED</v>
      </c>
      <c r="B4" s="156" t="s">
        <v>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</row>
    <row r="5" spans="1:61" x14ac:dyDescent="0.2">
      <c r="A5" s="154">
        <f>IF(B5="AED",A1,A2)</f>
        <v>1</v>
      </c>
      <c r="B5" s="155" t="s">
        <v>359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</row>
    <row r="6" spans="1:61" x14ac:dyDescent="0.2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</row>
    <row r="7" spans="1:61" x14ac:dyDescent="0.2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</row>
    <row r="8" spans="1:61" x14ac:dyDescent="0.2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</row>
    <row r="9" spans="1:61" x14ac:dyDescent="0.2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</row>
    <row r="10" spans="1:61" ht="51" x14ac:dyDescent="0.75">
      <c r="A10" s="155"/>
      <c r="B10" s="155"/>
      <c r="C10" s="155"/>
      <c r="D10" s="155"/>
      <c r="E10" s="155"/>
      <c r="F10" s="13" t="s">
        <v>324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</row>
    <row r="11" spans="1:61" x14ac:dyDescent="0.2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</row>
    <row r="12" spans="1:61" x14ac:dyDescent="0.2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</row>
    <row r="13" spans="1:61" x14ac:dyDescent="0.2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</row>
    <row r="14" spans="1:61" x14ac:dyDescent="0.2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</row>
    <row r="15" spans="1:61" ht="15" x14ac:dyDescent="0.25">
      <c r="A15" s="155"/>
      <c r="B15" s="155"/>
      <c r="C15" s="14" t="s">
        <v>1</v>
      </c>
      <c r="D15" s="14"/>
      <c r="E15" s="14"/>
      <c r="F15" s="14"/>
      <c r="G15" s="14"/>
      <c r="H15" s="14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</row>
    <row r="16" spans="1:61" ht="15" x14ac:dyDescent="0.25">
      <c r="A16" s="155"/>
      <c r="B16" s="155"/>
      <c r="C16" s="14" t="s">
        <v>340</v>
      </c>
      <c r="D16" s="14" t="s">
        <v>341</v>
      </c>
      <c r="E16" s="14"/>
      <c r="F16" s="14"/>
      <c r="G16" s="14"/>
      <c r="H16" s="14" t="s">
        <v>2</v>
      </c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</row>
    <row r="17" spans="1:61" ht="15" x14ac:dyDescent="0.25">
      <c r="A17" s="155"/>
      <c r="B17" s="155"/>
      <c r="C17" s="14" t="s">
        <v>3</v>
      </c>
      <c r="D17" s="14" t="s">
        <v>4</v>
      </c>
      <c r="E17" s="14"/>
      <c r="F17" s="14"/>
      <c r="G17" s="14"/>
      <c r="H17" s="14" t="s">
        <v>5</v>
      </c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</row>
    <row r="18" spans="1:61" ht="15" x14ac:dyDescent="0.25">
      <c r="A18" s="155"/>
      <c r="B18" s="155"/>
      <c r="C18" s="14"/>
      <c r="D18" s="14"/>
      <c r="E18" s="14"/>
      <c r="F18" s="14"/>
      <c r="G18" s="14"/>
      <c r="H18" s="14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</row>
    <row r="19" spans="1:61" ht="15" x14ac:dyDescent="0.25">
      <c r="A19" s="155"/>
      <c r="B19" s="155"/>
      <c r="C19" s="14"/>
      <c r="D19" s="14"/>
      <c r="E19" s="14"/>
      <c r="F19" s="14"/>
      <c r="G19" s="14"/>
      <c r="H19" s="14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</row>
    <row r="20" spans="1:61" ht="15" x14ac:dyDescent="0.25">
      <c r="A20" s="155"/>
      <c r="B20" s="155"/>
      <c r="C20" s="14"/>
      <c r="D20" s="14"/>
      <c r="E20" s="14"/>
      <c r="F20" s="14"/>
      <c r="G20" s="14"/>
      <c r="H20" s="14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</row>
    <row r="21" spans="1:61" x14ac:dyDescent="0.2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</row>
    <row r="22" spans="1:61" x14ac:dyDescent="0.2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</row>
    <row r="23" spans="1:61" x14ac:dyDescent="0.2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</row>
    <row r="24" spans="1:61" x14ac:dyDescent="0.2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</row>
    <row r="25" spans="1:61" x14ac:dyDescent="0.2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</row>
    <row r="26" spans="1:61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</row>
    <row r="27" spans="1:61" x14ac:dyDescent="0.2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</row>
    <row r="28" spans="1:61" x14ac:dyDescent="0.2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</row>
    <row r="29" spans="1:61" x14ac:dyDescent="0.2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</row>
    <row r="30" spans="1:61" x14ac:dyDescent="0.2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</row>
    <row r="31" spans="1:61" x14ac:dyDescent="0.2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</row>
    <row r="32" spans="1:61" x14ac:dyDescent="0.2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</row>
    <row r="33" spans="1:61" x14ac:dyDescent="0.2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</row>
    <row r="34" spans="1:61" x14ac:dyDescent="0.2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</row>
    <row r="35" spans="1:61" x14ac:dyDescent="0.2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</row>
    <row r="36" spans="1:61" x14ac:dyDescent="0.2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</row>
    <row r="37" spans="1:61" x14ac:dyDescent="0.2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</row>
    <row r="38" spans="1:61" x14ac:dyDescent="0.2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</row>
    <row r="39" spans="1:61" x14ac:dyDescent="0.2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</row>
    <row r="40" spans="1:61" x14ac:dyDescent="0.2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</row>
    <row r="41" spans="1:61" x14ac:dyDescent="0.2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</row>
    <row r="42" spans="1:61" x14ac:dyDescent="0.2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</row>
    <row r="43" spans="1:61" x14ac:dyDescent="0.2">
      <c r="A43" s="155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</row>
    <row r="44" spans="1:61" x14ac:dyDescent="0.2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</row>
    <row r="45" spans="1:61" x14ac:dyDescent="0.2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</row>
    <row r="46" spans="1:61" x14ac:dyDescent="0.2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</row>
    <row r="47" spans="1:61" x14ac:dyDescent="0.2">
      <c r="A47" s="155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</row>
    <row r="48" spans="1:61" x14ac:dyDescent="0.2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</row>
    <row r="49" spans="1:25" x14ac:dyDescent="0.2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x14ac:dyDescent="0.2">
      <c r="A50" s="155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</row>
  </sheetData>
  <dataValidations count="1">
    <dataValidation type="list" allowBlank="1" showInputMessage="1" showErrorMessage="1" sqref="B5" xr:uid="{3A326A52-03CA-485E-BF5D-A4909B4F22A5}">
      <formula1>"AED, USD"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55B9-69DF-4BD5-9234-10549B0E832D}">
  <dimension ref="A1:AI26"/>
  <sheetViews>
    <sheetView showGridLines="0" workbookViewId="0">
      <pane xSplit="2" ySplit="6" topLeftCell="Q7" activePane="bottomRight" state="frozen"/>
      <selection pane="topRight" activeCell="B7" sqref="B7"/>
      <selection pane="bottomLeft" activeCell="B7" sqref="B7"/>
      <selection pane="bottomRight" activeCell="Z12" sqref="Z12"/>
    </sheetView>
  </sheetViews>
  <sheetFormatPr defaultColWidth="9.140625" defaultRowHeight="12.75" x14ac:dyDescent="0.2"/>
  <cols>
    <col min="1" max="1" width="9.140625" style="20"/>
    <col min="2" max="2" width="38.42578125" style="20" customWidth="1"/>
    <col min="3" max="3" width="18.140625" style="20" customWidth="1"/>
    <col min="4" max="6" width="13.28515625" style="20" bestFit="1" customWidth="1"/>
    <col min="7" max="7" width="13.28515625" style="20" customWidth="1"/>
    <col min="8" max="8" width="12.140625" style="20" customWidth="1"/>
    <col min="9" max="11" width="12.7109375" style="20" bestFit="1" customWidth="1"/>
    <col min="12" max="12" width="12.7109375" style="20" customWidth="1"/>
    <col min="13" max="16" width="12.7109375" style="20" bestFit="1" customWidth="1"/>
    <col min="17" max="17" width="12.7109375" style="20" customWidth="1"/>
    <col min="18" max="27" width="12.7109375" style="20" bestFit="1" customWidth="1"/>
    <col min="28" max="28" width="13" style="20" customWidth="1"/>
    <col min="29" max="29" width="9.140625" style="20" customWidth="1"/>
    <col min="30" max="30" width="13.28515625" style="20" customWidth="1"/>
    <col min="31" max="32" width="9.140625" style="20" customWidth="1"/>
    <col min="33" max="33" width="12.28515625" style="20" customWidth="1"/>
    <col min="34" max="34" width="11.5703125" style="81" customWidth="1"/>
    <col min="35" max="16384" width="9.140625" style="20"/>
  </cols>
  <sheetData>
    <row r="1" spans="1:35" x14ac:dyDescent="0.2">
      <c r="A1" s="154">
        <f>'2025 IR Data Book'!$A$5</f>
        <v>1</v>
      </c>
    </row>
    <row r="2" spans="1:35" x14ac:dyDescent="0.2">
      <c r="A2" s="154"/>
    </row>
    <row r="3" spans="1:35" ht="15" x14ac:dyDescent="0.25">
      <c r="B3" s="62"/>
    </row>
    <row r="4" spans="1:35" x14ac:dyDescent="0.2">
      <c r="B4" s="64" t="s">
        <v>325</v>
      </c>
      <c r="C4" s="64"/>
      <c r="D4" s="65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276" t="s">
        <v>17</v>
      </c>
      <c r="AC4" s="276"/>
      <c r="AD4" s="276" t="s">
        <v>17</v>
      </c>
      <c r="AE4" s="276"/>
    </row>
    <row r="5" spans="1:35" ht="24" customHeight="1" x14ac:dyDescent="0.2">
      <c r="B5" s="126"/>
      <c r="C5" s="67" t="s">
        <v>18</v>
      </c>
      <c r="D5" s="67" t="s">
        <v>19</v>
      </c>
      <c r="E5" s="67" t="s">
        <v>20</v>
      </c>
      <c r="F5" s="67" t="s">
        <v>21</v>
      </c>
      <c r="G5" s="67">
        <v>2021</v>
      </c>
      <c r="H5" s="67" t="s">
        <v>23</v>
      </c>
      <c r="I5" s="194" t="s">
        <v>24</v>
      </c>
      <c r="J5" s="194" t="s">
        <v>25</v>
      </c>
      <c r="K5" s="194" t="s">
        <v>26</v>
      </c>
      <c r="L5" s="194">
        <v>2022</v>
      </c>
      <c r="M5" s="194" t="s">
        <v>28</v>
      </c>
      <c r="N5" s="194" t="s">
        <v>29</v>
      </c>
      <c r="O5" s="194" t="s">
        <v>30</v>
      </c>
      <c r="P5" s="194" t="s">
        <v>31</v>
      </c>
      <c r="Q5" s="194">
        <v>2023</v>
      </c>
      <c r="R5" s="194" t="s">
        <v>33</v>
      </c>
      <c r="S5" s="194" t="s">
        <v>34</v>
      </c>
      <c r="T5" s="194" t="s">
        <v>35</v>
      </c>
      <c r="U5" s="194" t="s">
        <v>318</v>
      </c>
      <c r="V5" s="194">
        <v>2024</v>
      </c>
      <c r="W5" s="194" t="s">
        <v>323</v>
      </c>
      <c r="X5" s="194" t="s">
        <v>337</v>
      </c>
      <c r="Y5" s="194" t="s">
        <v>343</v>
      </c>
      <c r="Z5" s="194" t="s">
        <v>349</v>
      </c>
      <c r="AA5" s="194">
        <v>2025</v>
      </c>
      <c r="AB5" s="67" t="s">
        <v>350</v>
      </c>
      <c r="AC5" s="194" t="s">
        <v>36</v>
      </c>
      <c r="AD5" s="256" t="s">
        <v>351</v>
      </c>
      <c r="AE5" s="194" t="s">
        <v>36</v>
      </c>
    </row>
    <row r="6" spans="1:35" x14ac:dyDescent="0.2"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</row>
    <row r="7" spans="1:35" x14ac:dyDescent="0.2">
      <c r="B7" s="187" t="s">
        <v>203</v>
      </c>
      <c r="C7" s="176">
        <f>104585.74155785*('2025 IR Data Book'!$A$5)</f>
        <v>104585.74155784999</v>
      </c>
      <c r="D7" s="176">
        <f>108808.981524708*('2025 IR Data Book'!$A$5)</f>
        <v>108808.981524708</v>
      </c>
      <c r="E7" s="176">
        <f>108445.010175879*('2025 IR Data Book'!$A$5)</f>
        <v>108445.010175879</v>
      </c>
      <c r="F7" s="176">
        <f>113016.407797778*('2025 IR Data Book'!$A$5)</f>
        <v>113016.407797778</v>
      </c>
      <c r="G7" s="176">
        <f>SUM(C7:F7)</f>
        <v>434856.14105621504</v>
      </c>
      <c r="H7" s="176">
        <f>112105.259668336*('2025 IR Data Book'!$A$5)</f>
        <v>112105.259668336</v>
      </c>
      <c r="I7" s="176">
        <f>111756.154186905*('2025 IR Data Book'!$A$5)</f>
        <v>111756.154186905</v>
      </c>
      <c r="J7" s="176">
        <f>110474.513920355*(('2025 IR Data Book'!$A$5))</f>
        <v>110474.51392035501</v>
      </c>
      <c r="K7" s="176">
        <f>(L7-H7-I7-J7)</f>
        <v>115471.37676662131</v>
      </c>
      <c r="L7" s="176">
        <f>'[17]Summary Per Product-22 Vs 21'!$M$5*3.6726*(('2025 IR Data Book'!$A$5))</f>
        <v>449807.30454221735</v>
      </c>
      <c r="M7" s="176">
        <f>107043.899568076*('2025 IR Data Book'!$A$5)</f>
        <v>107043.899568076</v>
      </c>
      <c r="N7" s="176">
        <f>106216.528820156*('2025 IR Data Book'!$A$5)</f>
        <v>106216.528820156</v>
      </c>
      <c r="O7" s="176">
        <f>104813.010850659*(((('2025 IR Data Book'!$A$5))))</f>
        <v>104813.010850659</v>
      </c>
      <c r="P7" s="176">
        <f>'[18]Sum Per Produc-23 Vs 22 Express'!$W$5*3.6726*(((('2025 IR Data Book'!$A$5))))</f>
        <v>110853.62144526535</v>
      </c>
      <c r="Q7" s="176">
        <f>SUM(M7:P7)</f>
        <v>428927.06068415637</v>
      </c>
      <c r="R7" s="176">
        <f>'[19]Sum Per Produc-24 Vs 23 Express'!$W$5*3.6726*(((('2025 IR Data Book'!$A$5))))</f>
        <v>106603.32080905201</v>
      </c>
      <c r="S7" s="176">
        <f>'[20]Sum Per Produc-24 Vs 23 Express'!$W$5*3.6726*(((('2025 IR Data Book'!$A$5))))</f>
        <v>107670.97418342323</v>
      </c>
      <c r="T7" s="176">
        <f>'[21]Sum Per Produc-24 Vs 23 Express'!$W$5*3.6726*(((('2025 IR Data Book'!$A$5))))</f>
        <v>118313.46157182082</v>
      </c>
      <c r="U7" s="176">
        <f>'[22]Sum Per Produc-24 Vs 23 Express'!$W$5*3.6726*(((('2025 IR Data Book'!$A$5))))</f>
        <v>122730.0018552945</v>
      </c>
      <c r="V7" s="176">
        <f>'[23]Sum Per Produc-24 Vs 23 Express'!$W$5*3.6726*(((('2025 IR Data Book'!$A$5))))</f>
        <v>455317.75841959054</v>
      </c>
      <c r="W7" s="176">
        <f>'[24]Sum Per Produc-25 Vs 24 Express'!$W$5*3.6726*(((('2025 IR Data Book'!$A$5))))</f>
        <v>128573.84208952707</v>
      </c>
      <c r="X7" s="176">
        <f>'[25]Sum Per Produc-25 Vs 24 Express'!$W$5*3.6726*(((('2025 IR Data Book'!$A$5))))</f>
        <v>132403.44776444937</v>
      </c>
      <c r="Y7" s="176">
        <f>'[26]Sum Per Produc-25 Vs 24 Express'!$W$5*3.6726*(((('2025 IR Data Book'!$A$5))))</f>
        <v>137308.99134204394</v>
      </c>
      <c r="Z7" s="176">
        <f>'[27]Sum Per Produc-25 Vs 24 Express'!$W$5*3.6726*(((('2025 IR Data Book'!$A$5))))</f>
        <v>138461.69707474275</v>
      </c>
      <c r="AA7" s="176">
        <f>'[28]Sum Per Produc-25 Vs 24 Express'!$W$5*3.6726*(((('2025 IR Data Book'!$A$5))))</f>
        <v>536747.97827076295</v>
      </c>
      <c r="AB7" s="177">
        <f>Z7-U7</f>
        <v>15731.695219448258</v>
      </c>
      <c r="AC7" s="178">
        <f>AB7/U7</f>
        <v>0.1281813328577702</v>
      </c>
      <c r="AD7" s="177">
        <f>(AA7)-(V7)</f>
        <v>81430.219851172413</v>
      </c>
      <c r="AE7" s="178">
        <f>AD7/(V7)</f>
        <v>0.17884261781006955</v>
      </c>
      <c r="AG7" s="201"/>
      <c r="AI7" s="230"/>
    </row>
    <row r="8" spans="1:35" x14ac:dyDescent="0.2">
      <c r="B8" s="188" t="s">
        <v>206</v>
      </c>
      <c r="C8" s="179">
        <f>86553.9529170147*('2025 IR Data Book'!$A$5)</f>
        <v>86553.9529170147</v>
      </c>
      <c r="D8" s="179">
        <f>101894.161962373*('2025 IR Data Book'!$A$5)</f>
        <v>101894.16196237299</v>
      </c>
      <c r="E8" s="179">
        <f>94777.1994902576*('2025 IR Data Book'!$A$5)</f>
        <v>94777.199490257597</v>
      </c>
      <c r="F8" s="179">
        <f>109153.581456482*('2025 IR Data Book'!$A$5)</f>
        <v>109153.581456482</v>
      </c>
      <c r="G8" s="179">
        <f>SUM(C8:F8)</f>
        <v>392378.89582612732</v>
      </c>
      <c r="H8" s="179">
        <f>98933.9658703533*('2025 IR Data Book'!$A$5)</f>
        <v>98933.965870353306</v>
      </c>
      <c r="I8" s="179">
        <f>83311.6154577578*('2025 IR Data Book'!$A$5)</f>
        <v>83311.615457757798</v>
      </c>
      <c r="J8" s="179">
        <f>(101858.873435182-91.1288848676697)*(('2025 IR Data Book'!$A$5))</f>
        <v>101767.74455031434</v>
      </c>
      <c r="K8" s="179">
        <f>(L8-H8-I8-J8)</f>
        <v>96767.573171517564</v>
      </c>
      <c r="L8" s="179">
        <f>'[17]Summary Per Product-22 Vs 21'!$M$9*3.6726*(('2025 IR Data Book'!$A$5))</f>
        <v>380780.89904994302</v>
      </c>
      <c r="M8" s="179">
        <f>90841.2760854907*('2025 IR Data Book'!$A$5)</f>
        <v>90841.276085490696</v>
      </c>
      <c r="N8" s="179">
        <f>89919.086671638*('2025 IR Data Book'!$A$5)</f>
        <v>89919.086671637997</v>
      </c>
      <c r="O8" s="179">
        <f>93161.5690100899*(((('2025 IR Data Book'!$A$5))))</f>
        <v>93161.569010089894</v>
      </c>
      <c r="P8" s="179">
        <f>'[18]Sum Per Produc-23 Vs 22 Express'!$W$9*3.6726*(((('2025 IR Data Book'!$A$5))))</f>
        <v>89722.590178667408</v>
      </c>
      <c r="Q8" s="179">
        <f>SUM(M8:P8)</f>
        <v>363644.52194588596</v>
      </c>
      <c r="R8" s="179">
        <f>'[19]Sum Per Produc-24 Vs 23 Express'!$W$9*3.6726*(((('2025 IR Data Book'!$A$5))))</f>
        <v>90272.837786181684</v>
      </c>
      <c r="S8" s="179">
        <f>'[20]Sum Per Produc-24 Vs 23 Express'!$W$9*3.6726*(((('2025 IR Data Book'!$A$5))))</f>
        <v>95314.925282175274</v>
      </c>
      <c r="T8" s="179">
        <f>'[21]Sum Per Produc-24 Vs 23 Express'!$W$9*3.6726*(((('2025 IR Data Book'!$A$5))))</f>
        <v>97651.503950207072</v>
      </c>
      <c r="U8" s="179">
        <f>'[22]Sum Per Produc-24 Vs 23 Express'!$W$9*3.6726*(((('2025 IR Data Book'!$A$5))))</f>
        <v>101716.61184930179</v>
      </c>
      <c r="V8" s="179">
        <f>'[23]Sum Per Produc-24 Vs 23 Express'!$W$9*3.6726*(((('2025 IR Data Book'!$A$5))))</f>
        <v>384955.87886786589</v>
      </c>
      <c r="W8" s="179">
        <f>'[24]Sum Per Produc-25 Vs 24 Express'!$W$9*3.6726*(((('2025 IR Data Book'!$A$5))))</f>
        <v>105684.36877351945</v>
      </c>
      <c r="X8" s="179">
        <f>'[25]Sum Per Produc-25 Vs 24 Express'!$W$9*3.6726*(((('2025 IR Data Book'!$A$5))))</f>
        <v>105012.79538250013</v>
      </c>
      <c r="Y8" s="179">
        <f>'[26]Sum Per Produc-25 Vs 24 Express'!$W$9*3.6726*(((('2025 IR Data Book'!$A$5))))</f>
        <v>109471.10180560224</v>
      </c>
      <c r="Z8" s="179">
        <f>'[27]Sum Per Produc-25 Vs 24 Express'!$W$9*3.6726*(((('2025 IR Data Book'!$A$5))))</f>
        <v>111965.07845173158</v>
      </c>
      <c r="AA8" s="179">
        <f>'[28]Sum Per Produc-25 Vs 24 Express'!$W$9*3.6726*(((('2025 IR Data Book'!$A$5))))</f>
        <v>432133.48353144148</v>
      </c>
      <c r="AB8" s="180">
        <f t="shared" ref="AB8:AB9" si="0">Z8-U8</f>
        <v>10248.466602429791</v>
      </c>
      <c r="AC8" s="181">
        <f t="shared" ref="AC8:AC9" si="1">AB8/U8</f>
        <v>0.10075509217327651</v>
      </c>
      <c r="AD8" s="180">
        <f t="shared" ref="AD8:AD9" si="2">(AA8)-(V8)</f>
        <v>47177.604663575592</v>
      </c>
      <c r="AE8" s="181">
        <f t="shared" ref="AE8:AE9" si="3">AD8/(V8)</f>
        <v>0.12255327754007118</v>
      </c>
      <c r="AG8" s="201"/>
      <c r="AI8" s="230"/>
    </row>
    <row r="9" spans="1:35" x14ac:dyDescent="0.2">
      <c r="B9" s="187" t="s">
        <v>207</v>
      </c>
      <c r="C9" s="176">
        <f t="shared" ref="C9:I9" si="4">C7-C8</f>
        <v>18031.788640835293</v>
      </c>
      <c r="D9" s="176">
        <f t="shared" si="4"/>
        <v>6914.8195623350039</v>
      </c>
      <c r="E9" s="176">
        <f t="shared" si="4"/>
        <v>13667.8106856214</v>
      </c>
      <c r="F9" s="176">
        <f t="shared" si="4"/>
        <v>3862.8263412959932</v>
      </c>
      <c r="G9" s="176">
        <f t="shared" si="4"/>
        <v>42477.245230087719</v>
      </c>
      <c r="H9" s="176">
        <f t="shared" si="4"/>
        <v>13171.293797982697</v>
      </c>
      <c r="I9" s="176">
        <f t="shared" si="4"/>
        <v>28444.5387291472</v>
      </c>
      <c r="J9" s="176">
        <f t="shared" ref="J9:K9" si="5">J7-J8</f>
        <v>8706.7693700406671</v>
      </c>
      <c r="K9" s="176">
        <f t="shared" si="5"/>
        <v>18703.803595103745</v>
      </c>
      <c r="L9" s="176">
        <f t="shared" ref="L9" si="6">L7-L8</f>
        <v>69026.405492274323</v>
      </c>
      <c r="M9" s="176">
        <f t="shared" ref="M9:N9" si="7">M7-M8</f>
        <v>16202.623482585303</v>
      </c>
      <c r="N9" s="176">
        <f t="shared" si="7"/>
        <v>16297.442148518006</v>
      </c>
      <c r="O9" s="176">
        <f t="shared" ref="O9:Q9" si="8">O7-O8</f>
        <v>11651.44184056911</v>
      </c>
      <c r="P9" s="176">
        <f t="shared" si="8"/>
        <v>21131.031266597944</v>
      </c>
      <c r="Q9" s="176">
        <f t="shared" si="8"/>
        <v>65282.538738270407</v>
      </c>
      <c r="R9" s="176">
        <f t="shared" ref="R9:S9" si="9">R7-R8</f>
        <v>16330.483022870321</v>
      </c>
      <c r="S9" s="176">
        <f t="shared" si="9"/>
        <v>12356.048901247952</v>
      </c>
      <c r="T9" s="176">
        <f t="shared" ref="T9:U9" si="10">T7-T8</f>
        <v>20661.95762161375</v>
      </c>
      <c r="U9" s="176">
        <f t="shared" si="10"/>
        <v>21013.390005992711</v>
      </c>
      <c r="V9" s="176">
        <f t="shared" ref="V9:W9" si="11">V7-V8</f>
        <v>70361.879551724647</v>
      </c>
      <c r="W9" s="176">
        <f t="shared" si="11"/>
        <v>22889.473316007614</v>
      </c>
      <c r="X9" s="176">
        <f t="shared" ref="X9:Y9" si="12">X7-X8</f>
        <v>27390.652381949243</v>
      </c>
      <c r="Y9" s="176">
        <f t="shared" si="12"/>
        <v>27837.889536441697</v>
      </c>
      <c r="Z9" s="176">
        <f t="shared" ref="Z9:AA9" si="13">Z7-Z8</f>
        <v>26496.618623011178</v>
      </c>
      <c r="AA9" s="176">
        <f t="shared" si="13"/>
        <v>104614.49473932147</v>
      </c>
      <c r="AB9" s="189">
        <f t="shared" si="0"/>
        <v>5483.228617018467</v>
      </c>
      <c r="AC9" s="178">
        <f t="shared" si="1"/>
        <v>0.26093974439415679</v>
      </c>
      <c r="AD9" s="189">
        <f t="shared" si="2"/>
        <v>34252.615187596821</v>
      </c>
      <c r="AE9" s="178">
        <f t="shared" si="3"/>
        <v>0.48680642708552052</v>
      </c>
      <c r="AG9" s="201"/>
      <c r="AI9" s="230"/>
    </row>
    <row r="10" spans="1:35" x14ac:dyDescent="0.2">
      <c r="B10" s="190" t="s">
        <v>208</v>
      </c>
      <c r="C10" s="182">
        <f t="shared" ref="C10:I10" si="14">C9/C7</f>
        <v>0.17241153882206101</v>
      </c>
      <c r="D10" s="182">
        <f t="shared" si="14"/>
        <v>6.3550080751052784E-2</v>
      </c>
      <c r="E10" s="182">
        <f t="shared" si="14"/>
        <v>0.12603448202415751</v>
      </c>
      <c r="F10" s="182">
        <f t="shared" si="14"/>
        <v>3.4179341005138017E-2</v>
      </c>
      <c r="G10" s="182">
        <f t="shared" si="14"/>
        <v>9.7681143761510242E-2</v>
      </c>
      <c r="H10" s="182">
        <f t="shared" si="14"/>
        <v>0.11749041781759427</v>
      </c>
      <c r="I10" s="182">
        <f t="shared" si="14"/>
        <v>0.25452324246569485</v>
      </c>
      <c r="J10" s="182">
        <f t="shared" ref="J10:K10" si="15">J9/J7</f>
        <v>7.8812470506253465E-2</v>
      </c>
      <c r="K10" s="182">
        <f t="shared" si="15"/>
        <v>0.16197783484391912</v>
      </c>
      <c r="L10" s="182">
        <f t="shared" ref="L10" si="16">L9/L7</f>
        <v>0.15345772466395272</v>
      </c>
      <c r="M10" s="182">
        <f t="shared" ref="M10:N10" si="17">M9/M7</f>
        <v>0.15136428650267011</v>
      </c>
      <c r="N10" s="182">
        <f t="shared" si="17"/>
        <v>0.15343602666692821</v>
      </c>
      <c r="O10" s="182">
        <f t="shared" ref="O10:Q10" si="18">O9/O7</f>
        <v>0.11116407921121992</v>
      </c>
      <c r="P10" s="182">
        <f t="shared" si="18"/>
        <v>0.19062102790238133</v>
      </c>
      <c r="Q10" s="182">
        <f t="shared" si="18"/>
        <v>0.15219962721433816</v>
      </c>
      <c r="R10" s="182">
        <f t="shared" ref="R10:S10" si="19">R9/R7</f>
        <v>0.15318925244478548</v>
      </c>
      <c r="S10" s="182">
        <f t="shared" si="19"/>
        <v>0.1147574728932866</v>
      </c>
      <c r="T10" s="182">
        <f t="shared" ref="T10:U10" si="20">T9/T7</f>
        <v>0.17463741950505901</v>
      </c>
      <c r="U10" s="182">
        <f t="shared" si="20"/>
        <v>0.17121640746627437</v>
      </c>
      <c r="V10" s="182">
        <f t="shared" ref="V10:W10" si="21">V9/V7</f>
        <v>0.15453357188604055</v>
      </c>
      <c r="W10" s="182">
        <f t="shared" si="21"/>
        <v>0.17802589503446181</v>
      </c>
      <c r="X10" s="182">
        <f t="shared" ref="X10:Y10" si="22">X9/X7</f>
        <v>0.20687265206777866</v>
      </c>
      <c r="Y10" s="182">
        <f t="shared" si="22"/>
        <v>0.20273901413415851</v>
      </c>
      <c r="Z10" s="182">
        <f t="shared" ref="Z10:AA10" si="23">Z9/Z7</f>
        <v>0.19136424861749374</v>
      </c>
      <c r="AA10" s="182">
        <f t="shared" si="23"/>
        <v>0.19490431072764769</v>
      </c>
      <c r="AB10" s="182"/>
      <c r="AC10" s="182"/>
      <c r="AD10" s="182"/>
      <c r="AE10" s="182"/>
      <c r="AG10" s="201"/>
      <c r="AI10" s="230"/>
    </row>
    <row r="11" spans="1:35" x14ac:dyDescent="0.2">
      <c r="B11" s="191" t="s">
        <v>209</v>
      </c>
      <c r="C11" s="183">
        <f>14151.3708617567*('2025 IR Data Book'!$A$5)</f>
        <v>14151.370861756701</v>
      </c>
      <c r="D11" s="183">
        <f>12503.673217457*('2025 IR Data Book'!$A$5)</f>
        <v>12503.673217457001</v>
      </c>
      <c r="E11" s="183">
        <f>13033.4885961757*('2025 IR Data Book'!$A$5)</f>
        <v>13033.488596175701</v>
      </c>
      <c r="F11" s="183">
        <f>13511.0129796056*('2025 IR Data Book'!$A$5)</f>
        <v>13511.012979605601</v>
      </c>
      <c r="G11" s="183">
        <f>SUM(C11:F11)</f>
        <v>53199.545654995003</v>
      </c>
      <c r="H11" s="183">
        <f>12489.5278782531*('2025 IR Data Book'!$A$5)</f>
        <v>12489.5278782531</v>
      </c>
      <c r="I11" s="183">
        <f>17395.7046626744*('2025 IR Data Book'!$A$5)</f>
        <v>17395.704662674401</v>
      </c>
      <c r="J11" s="183">
        <f>14720.6013629062*(('2025 IR Data Book'!$A$5))</f>
        <v>14720.6013629062</v>
      </c>
      <c r="K11" s="183">
        <f>(L11-H11-I11-J11)</f>
        <v>14495.526014470484</v>
      </c>
      <c r="L11" s="183">
        <f>'[17]Summary Per Product-22 Vs 21'!$M$15*3.6726*(('2025 IR Data Book'!$A$5))</f>
        <v>59101.359918304188</v>
      </c>
      <c r="M11" s="183">
        <f>14148.1474994704*('2025 IR Data Book'!$A$5)</f>
        <v>14148.1474994704</v>
      </c>
      <c r="N11" s="183">
        <f>14570.8481606643*('2025 IR Data Book'!$A$5)</f>
        <v>14570.8481606643</v>
      </c>
      <c r="O11" s="183">
        <f>14320.3227988616*(((('2025 IR Data Book'!$A$5))))</f>
        <v>14320.3227988616</v>
      </c>
      <c r="P11" s="183">
        <f>'[18]Sum Per Produc-23 Vs 22 Express'!$W$15*3.6726*(((('2025 IR Data Book'!$A$5))))</f>
        <v>14460.992615008841</v>
      </c>
      <c r="Q11" s="183">
        <f>SUM(M11:P11)</f>
        <v>57500.311074005142</v>
      </c>
      <c r="R11" s="183">
        <f>'[19]Sum Per Produc-24 Vs 23 Express'!$W$15*3.6726*(((('2025 IR Data Book'!$A$5))))</f>
        <v>15321.6834877072</v>
      </c>
      <c r="S11" s="183">
        <f>'[20]Sum Per Produc-24 Vs 23 Express'!$W$15*3.6726*(((('2025 IR Data Book'!$A$5))))</f>
        <v>14016.974091903185</v>
      </c>
      <c r="T11" s="183">
        <f>'[21]Sum Per Produc-24 Vs 23 Express'!$W$15*3.6726*(((('2025 IR Data Book'!$A$5))))</f>
        <v>14725.553109719589</v>
      </c>
      <c r="U11" s="183">
        <f>'[22]Sum Per Produc-24 Vs 23 Express'!$W$15*3.6726*(((('2025 IR Data Book'!$A$5))))</f>
        <v>14798.640075558735</v>
      </c>
      <c r="V11" s="183">
        <f>'[23]Sum Per Produc-24 Vs 23 Express'!$W$15*3.6726*(((('2025 IR Data Book'!$A$5))))</f>
        <v>58862.85076488871</v>
      </c>
      <c r="W11" s="183">
        <f>'[24]Sum Per Produc-25 Vs 24 Express'!$W$15*3.6726*(((('2025 IR Data Book'!$A$5))))</f>
        <v>16270.810430569341</v>
      </c>
      <c r="X11" s="183">
        <f>'[25]Sum Per Produc-25 Vs 24 Express'!$W$15*3.6726*(((('2025 IR Data Book'!$A$5))))</f>
        <v>17338.022009559205</v>
      </c>
      <c r="Y11" s="183">
        <f>'[26]Sum Per Produc-25 Vs 24 Express'!$W$15*3.6726*(((('2025 IR Data Book'!$A$5))))</f>
        <v>18376.172593334486</v>
      </c>
      <c r="Z11" s="183">
        <f>'[27]Sum Per Produc-25 Vs 24 Express'!$W$15*3.6726*(((('2025 IR Data Book'!$A$5))))</f>
        <v>19519.704402756692</v>
      </c>
      <c r="AA11" s="183">
        <f>'[28]Sum Per Produc-25 Vs 24 Express'!$W$15*3.6726*(((('2025 IR Data Book'!$A$5))))</f>
        <v>71504.709436219724</v>
      </c>
      <c r="AB11" s="184">
        <f t="shared" ref="AB11:AB12" si="24">Z11-U11</f>
        <v>4721.064327197957</v>
      </c>
      <c r="AC11" s="181">
        <f t="shared" ref="AC11:AC12" si="25">AB11/U11</f>
        <v>0.31902014665490874</v>
      </c>
      <c r="AD11" s="184">
        <f t="shared" ref="AD11:AD12" si="26">(AA11)-(V11)</f>
        <v>12641.858671331014</v>
      </c>
      <c r="AE11" s="181">
        <f t="shared" ref="AE11:AE12" si="27">AD11/(V11)</f>
        <v>0.21476803292836433</v>
      </c>
      <c r="AG11" s="201"/>
      <c r="AI11" s="230"/>
    </row>
    <row r="12" spans="1:35" x14ac:dyDescent="0.2">
      <c r="B12" s="192" t="s">
        <v>210</v>
      </c>
      <c r="C12" s="185">
        <f>5702.3992194531*('2025 IR Data Book'!$A$5)</f>
        <v>5702.3992194531002</v>
      </c>
      <c r="D12" s="185">
        <f>-5088.39048845237*('2025 IR Data Book'!$A$5)</f>
        <v>-5088.3904884523699</v>
      </c>
      <c r="E12" s="185">
        <f>5816.40331765882*('2025 IR Data Book'!$A$5)</f>
        <v>5816.40331765882</v>
      </c>
      <c r="F12" s="185">
        <f>15858.7549284546*('2025 IR Data Book'!$A$5)</f>
        <v>15858.7549284546</v>
      </c>
      <c r="G12" s="185">
        <f>SUM(C12:F12)</f>
        <v>22289.16697711415</v>
      </c>
      <c r="H12" s="185">
        <f>5792.25311649132*('2025 IR Data Book'!$A$5)</f>
        <v>5792.2531164913198</v>
      </c>
      <c r="I12" s="185">
        <f>5179.84324275896*('2025 IR Data Book'!$A$5)</f>
        <v>5179.8432427589596</v>
      </c>
      <c r="J12" s="185">
        <f>(-6206.96170339434--92.3753120947572)*(('2025 IR Data Book'!$A$5))</f>
        <v>-6114.5863912995819</v>
      </c>
      <c r="K12" s="185">
        <f>(L12-H12-I12-J12)</f>
        <v>4289.7071120496157</v>
      </c>
      <c r="L12" s="185">
        <f>'[17]Summary Per Product-22 Vs 21'!$M$21*3.6726*(('2025 IR Data Book'!$A$5))</f>
        <v>9147.2170800003132</v>
      </c>
      <c r="M12" s="185">
        <f>2150.14946247002*('2025 IR Data Book'!$A$5)</f>
        <v>2150.1494624700199</v>
      </c>
      <c r="N12" s="185">
        <f>1381.98113750065*('2025 IR Data Book'!$A$5)</f>
        <v>1381.98113750065</v>
      </c>
      <c r="O12" s="185">
        <f>-3093.07301730344*(((('2025 IR Data Book'!$A$5))))</f>
        <v>-3093.0730173034399</v>
      </c>
      <c r="P12" s="185">
        <f>'[18]Sum Per Produc-23 Vs 22 Express'!$W$18*3.6726*(((('2025 IR Data Book'!$A$5))))</f>
        <v>17032.954071533721</v>
      </c>
      <c r="Q12" s="185">
        <f>SUM(M12:P12)</f>
        <v>17472.011654200949</v>
      </c>
      <c r="R12" s="185">
        <f>'[19]Sum Per Produc-24 Vs 23 Express'!$W$18*3.6726*(((('2025 IR Data Book'!$A$5))))</f>
        <v>-1301.1120517398142</v>
      </c>
      <c r="S12" s="185">
        <f>'[20]Sum Per Produc-24 Vs 23 Express'!$W$18*3.6726*(((('2025 IR Data Book'!$A$5))))</f>
        <v>-1487.7897430703697</v>
      </c>
      <c r="T12" s="185">
        <f>'[21]Sum Per Produc-24 Vs 23 Express'!$W$18*3.6726*(((('2025 IR Data Book'!$A$5))))</f>
        <v>6571.9313616767104</v>
      </c>
      <c r="U12" s="185">
        <f>'[22]Sum Per Produc-24 Vs 23 Express'!$W$18*3.6726*(((('2025 IR Data Book'!$A$5))))</f>
        <v>4617.6866748203574</v>
      </c>
      <c r="V12" s="185">
        <f>'[23]Sum Per Produc-24 Vs 23 Express'!$W$18*3.6726*(((('2025 IR Data Book'!$A$5))))</f>
        <v>8400.716241686805</v>
      </c>
      <c r="W12" s="185">
        <f>'[24]Sum Per Produc-25 Vs 24 Express'!$W$18*3.6726*(((('2025 IR Data Book'!$A$5))))</f>
        <v>7390.1971223648497</v>
      </c>
      <c r="X12" s="185">
        <f>'[25]Sum Per Produc-25 Vs 24 Express'!$W$18*3.6726*(((('2025 IR Data Book'!$A$5))))</f>
        <v>8478.1530703367898</v>
      </c>
      <c r="Y12" s="185">
        <f>'[26]Sum Per Produc-25 Vs 24 Express'!$W$18*3.6726*(((('2025 IR Data Book'!$A$5))))</f>
        <v>8612.228185580725</v>
      </c>
      <c r="Z12" s="185">
        <f>'[27]Sum Per Produc-25 Vs 24 Express'!$W$18*3.6726*(((('2025 IR Data Book'!$A$5))))</f>
        <v>5885.4540293059927</v>
      </c>
      <c r="AA12" s="185">
        <f>'[28]Sum Per Produc-25 Vs 24 Express'!$W$18*3.6726*(((('2025 IR Data Book'!$A$5))))</f>
        <v>30366.032407588074</v>
      </c>
      <c r="AB12" s="185">
        <f t="shared" si="24"/>
        <v>1267.7673544856352</v>
      </c>
      <c r="AC12" s="186">
        <f t="shared" si="25"/>
        <v>0.27454598888196663</v>
      </c>
      <c r="AD12" s="185">
        <f t="shared" si="26"/>
        <v>21965.316165901269</v>
      </c>
      <c r="AE12" s="186">
        <f t="shared" si="27"/>
        <v>2.6146956442717304</v>
      </c>
      <c r="AG12" s="201"/>
      <c r="AI12" s="230"/>
    </row>
    <row r="13" spans="1:35" x14ac:dyDescent="0.2">
      <c r="B13" s="193" t="s">
        <v>211</v>
      </c>
      <c r="C13" s="182">
        <f t="shared" ref="C13:I13" si="28">C12/C7</f>
        <v>5.4523677267220079E-2</v>
      </c>
      <c r="D13" s="182">
        <f t="shared" si="28"/>
        <v>-4.6764434490152031E-2</v>
      </c>
      <c r="E13" s="182">
        <f t="shared" si="28"/>
        <v>5.3634586858589649E-2</v>
      </c>
      <c r="F13" s="182">
        <f t="shared" si="28"/>
        <v>0.14032258888311966</v>
      </c>
      <c r="G13" s="182">
        <f t="shared" si="28"/>
        <v>5.1256415335371265E-2</v>
      </c>
      <c r="H13" s="182">
        <f t="shared" si="28"/>
        <v>5.1667987154462969E-2</v>
      </c>
      <c r="I13" s="182">
        <f t="shared" si="28"/>
        <v>4.634951229706781E-2</v>
      </c>
      <c r="J13" s="182">
        <f t="shared" ref="J13:K13" si="29">J12/J7</f>
        <v>-5.5348389183298909E-2</v>
      </c>
      <c r="K13" s="182">
        <f t="shared" si="29"/>
        <v>3.7149527719925989E-2</v>
      </c>
      <c r="L13" s="182">
        <f t="shared" ref="L13" si="30">L12/L7</f>
        <v>2.0335857127330815E-2</v>
      </c>
      <c r="M13" s="182">
        <f t="shared" ref="M13:N13" si="31">M12/M7</f>
        <v>2.0086613727133544E-2</v>
      </c>
      <c r="N13" s="182">
        <f t="shared" si="31"/>
        <v>1.30109800503893E-2</v>
      </c>
      <c r="O13" s="182">
        <f t="shared" ref="O13:Q13" si="32">O12/O7</f>
        <v>-2.9510391813002596E-2</v>
      </c>
      <c r="P13" s="182">
        <f t="shared" si="32"/>
        <v>0.15365266239807823</v>
      </c>
      <c r="Q13" s="182">
        <f t="shared" si="32"/>
        <v>4.0734225596147672E-2</v>
      </c>
      <c r="R13" s="182">
        <f t="shared" ref="R13:S13" si="33">R12/R7</f>
        <v>-1.2205173740041059E-2</v>
      </c>
      <c r="S13" s="182">
        <f t="shared" si="33"/>
        <v>-1.3817927759582084E-2</v>
      </c>
      <c r="T13" s="182">
        <f t="shared" ref="T13:U13" si="34">T12/T7</f>
        <v>5.5546776118009997E-2</v>
      </c>
      <c r="U13" s="182">
        <f t="shared" si="34"/>
        <v>3.7624758453640918E-2</v>
      </c>
      <c r="V13" s="182">
        <f t="shared" ref="V13:W13" si="35">V12/V7</f>
        <v>1.8450227530869254E-2</v>
      </c>
      <c r="W13" s="182">
        <f t="shared" si="35"/>
        <v>5.747823198142428E-2</v>
      </c>
      <c r="X13" s="182">
        <f t="shared" ref="X13:Y13" si="36">X12/X7</f>
        <v>6.4032721303600326E-2</v>
      </c>
      <c r="Y13" s="182">
        <f t="shared" si="36"/>
        <v>6.2721516642178302E-2</v>
      </c>
      <c r="Z13" s="182">
        <f t="shared" ref="Z13:AA13" si="37">Z12/Z7</f>
        <v>4.250600818599657E-2</v>
      </c>
      <c r="AA13" s="182">
        <f t="shared" si="37"/>
        <v>5.6574097410516756E-2</v>
      </c>
      <c r="AB13" s="182"/>
      <c r="AC13" s="182"/>
      <c r="AD13" s="182"/>
      <c r="AE13" s="182"/>
      <c r="AG13" s="201"/>
      <c r="AI13" s="230"/>
    </row>
    <row r="14" spans="1:35" x14ac:dyDescent="0.2">
      <c r="B14" s="192" t="s">
        <v>212</v>
      </c>
      <c r="C14" s="185">
        <f>25987.4230939523*('2025 IR Data Book'!$A$5)</f>
        <v>25987.4230939523</v>
      </c>
      <c r="D14" s="185">
        <f>17185.0201260158*('2025 IR Data Book'!$A$5)</f>
        <v>17185.020126015799</v>
      </c>
      <c r="E14" s="185">
        <f>28918.9802275479*('2025 IR Data Book'!$A$5)</f>
        <v>28918.980227547901</v>
      </c>
      <c r="F14" s="185">
        <f>38201.4024157444*('2025 IR Data Book'!$A$5)</f>
        <v>38201.4024157444</v>
      </c>
      <c r="G14" s="185">
        <f>SUM(C14:F14)</f>
        <v>110292.8258632604</v>
      </c>
      <c r="H14" s="185">
        <f>28762.0029383276*('2025 IR Data Book'!$A$5)</f>
        <v>28762.002938327601</v>
      </c>
      <c r="I14" s="185">
        <f>26975.4387801771*('2025 IR Data Book'!$A$5)</f>
        <v>26975.438780177101</v>
      </c>
      <c r="J14" s="185">
        <f>(14985.8032363457+92.0501665966851)*(('2025 IR Data Book'!$A$5))</f>
        <v>15077.853402942386</v>
      </c>
      <c r="K14" s="185">
        <f>(L14-H14-I14-J14)</f>
        <v>26387.492525135222</v>
      </c>
      <c r="L14" s="185">
        <f>'[17]Summary Per Product-22 Vs 21'!$M$31*3.6726*(('2025 IR Data Book'!$A$5))</f>
        <v>97202.787646582306</v>
      </c>
      <c r="M14" s="185">
        <f>24888.5034405447*('2025 IR Data Book'!$A$5)</f>
        <v>24888.5034405447</v>
      </c>
      <c r="N14" s="185">
        <f>23769.0877004912*('2025 IR Data Book'!$A$5)</f>
        <v>23769.0877004912</v>
      </c>
      <c r="O14" s="185">
        <f>19534.3446185946*(((('2025 IR Data Book'!$A$5))))</f>
        <v>19534.344618594601</v>
      </c>
      <c r="P14" s="185">
        <f>'[18]Sum Per Produc-23 Vs 22 Express'!$W$22*3.6726*(((('2025 IR Data Book'!$A$5))))</f>
        <v>40019.792677305806</v>
      </c>
      <c r="Q14" s="185">
        <f>SUM(M14:P14)</f>
        <v>108211.7284369363</v>
      </c>
      <c r="R14" s="185">
        <f>'[19]Sum Per Produc-24 Vs 23 Express'!$W$22*3.6726*(((('2025 IR Data Book'!$A$5))))</f>
        <v>21636.032459643153</v>
      </c>
      <c r="S14" s="185">
        <f>'[20]Sum Per Produc-24 Vs 23 Express'!$W$22*3.6726*(((('2025 IR Data Book'!$A$5))))</f>
        <v>21469.161335585064</v>
      </c>
      <c r="T14" s="185">
        <f>'[21]Sum Per Produc-24 Vs 23 Express'!$W$22*3.6726*(((('2025 IR Data Book'!$A$5))))</f>
        <v>29194.113705092088</v>
      </c>
      <c r="U14" s="185">
        <f>'[22]Sum Per Produc-24 Vs 23 Express'!$W$22*3.6726*(((('2025 IR Data Book'!$A$5))))</f>
        <v>27557.0942116673</v>
      </c>
      <c r="V14" s="185">
        <f>'[23]Sum Per Produc-24 Vs 23 Express'!$W$22*3.6726*(((('2025 IR Data Book'!$A$5))))</f>
        <v>99856.401711987521</v>
      </c>
      <c r="W14" s="185">
        <f>'[24]Sum Per Produc-25 Vs 24 Express'!$W$22*3.6726*(((('2025 IR Data Book'!$A$5))))</f>
        <v>30473.571789363919</v>
      </c>
      <c r="X14" s="185">
        <f>'[25]Sum Per Produc-25 Vs 24 Express'!$W$22*3.6726*(((('2025 IR Data Book'!$A$5))))</f>
        <v>32368.492978465976</v>
      </c>
      <c r="Y14" s="185">
        <f>'[26]Sum Per Produc-25 Vs 24 Express'!$W$22*3.6726*(((('2025 IR Data Book'!$A$5))))</f>
        <v>33278.438706977788</v>
      </c>
      <c r="Z14" s="185">
        <f>'[27]Sum Per Produc-25 Vs 24 Express'!$W$22*3.6726*(((('2025 IR Data Book'!$A$5))))</f>
        <v>31664.294483192552</v>
      </c>
      <c r="AA14" s="185">
        <f>'[28]Sum Per Produc-25 Vs 24 Express'!$W$22*3.6726*(((('2025 IR Data Book'!$A$5))))</f>
        <v>127784.79795799995</v>
      </c>
      <c r="AB14" s="185">
        <f>Z14-U14</f>
        <v>4107.2002715252529</v>
      </c>
      <c r="AC14" s="186">
        <f>AB14/U14</f>
        <v>0.14904330042847261</v>
      </c>
      <c r="AD14" s="185">
        <f>(AA14)-(V14)</f>
        <v>27928.396246012431</v>
      </c>
      <c r="AE14" s="186">
        <f>AD14/(V14)</f>
        <v>0.27968558617368738</v>
      </c>
      <c r="AG14" s="201"/>
      <c r="AI14" s="230"/>
    </row>
    <row r="15" spans="1:35" x14ac:dyDescent="0.2">
      <c r="B15" s="193" t="s">
        <v>213</v>
      </c>
      <c r="C15" s="182">
        <f t="shared" ref="C15:I15" si="38">C14/C7</f>
        <v>0.24847959871831818</v>
      </c>
      <c r="D15" s="182">
        <f t="shared" si="38"/>
        <v>0.1579375147640131</v>
      </c>
      <c r="E15" s="182">
        <f t="shared" si="38"/>
        <v>0.26666953307161234</v>
      </c>
      <c r="F15" s="182">
        <f t="shared" si="38"/>
        <v>0.33801642752704331</v>
      </c>
      <c r="G15" s="182">
        <f t="shared" si="38"/>
        <v>0.25363060435428586</v>
      </c>
      <c r="H15" s="182">
        <f t="shared" si="38"/>
        <v>0.25656247551114136</v>
      </c>
      <c r="I15" s="182">
        <f t="shared" si="38"/>
        <v>0.24137765813829287</v>
      </c>
      <c r="J15" s="182">
        <f t="shared" ref="J15:K15" si="39">J14/J7</f>
        <v>0.13648264081806727</v>
      </c>
      <c r="K15" s="182">
        <f t="shared" si="39"/>
        <v>0.2285197705615554</v>
      </c>
      <c r="L15" s="182">
        <f t="shared" ref="L15" si="40">L14/L7</f>
        <v>0.21609873086767356</v>
      </c>
      <c r="M15" s="182">
        <f t="shared" ref="M15:N15" si="41">M14/M7</f>
        <v>0.23250744359062259</v>
      </c>
      <c r="N15" s="182">
        <f t="shared" si="41"/>
        <v>0.2237795563884093</v>
      </c>
      <c r="O15" s="182">
        <f t="shared" ref="O15:Q15" si="42">O14/O7</f>
        <v>0.1863732799969631</v>
      </c>
      <c r="P15" s="182">
        <f t="shared" si="42"/>
        <v>0.36101475220695267</v>
      </c>
      <c r="Q15" s="182">
        <f t="shared" si="42"/>
        <v>0.25228468510318314</v>
      </c>
      <c r="R15" s="182">
        <f t="shared" ref="R15:S15" si="43">R14/R7</f>
        <v>0.20295833465073418</v>
      </c>
      <c r="S15" s="182">
        <f t="shared" si="43"/>
        <v>0.19939599783885309</v>
      </c>
      <c r="T15" s="182">
        <f t="shared" ref="T15:U15" si="44">T14/T7</f>
        <v>0.24675225724310448</v>
      </c>
      <c r="U15" s="182">
        <f t="shared" si="44"/>
        <v>0.22453429312384959</v>
      </c>
      <c r="V15" s="182">
        <f t="shared" ref="V15:W15" si="45">V14/V7</f>
        <v>0.21931145857036066</v>
      </c>
      <c r="W15" s="182">
        <f t="shared" si="45"/>
        <v>0.23701222032507133</v>
      </c>
      <c r="X15" s="182">
        <f t="shared" ref="X15:Y15" si="46">X14/X7</f>
        <v>0.24446865640576612</v>
      </c>
      <c r="Y15" s="182">
        <f t="shared" si="46"/>
        <v>0.24236168645416264</v>
      </c>
      <c r="Z15" s="182">
        <f t="shared" ref="Z15:AA15" si="47">Z14/Z7</f>
        <v>0.22868630929823075</v>
      </c>
      <c r="AA15" s="182">
        <f t="shared" si="47"/>
        <v>0.23807224830111759</v>
      </c>
    </row>
    <row r="19" spans="3:5" x14ac:dyDescent="0.2">
      <c r="E19" s="28"/>
    </row>
    <row r="21" spans="3:5" x14ac:dyDescent="0.2">
      <c r="E21" s="28"/>
    </row>
    <row r="22" spans="3:5" x14ac:dyDescent="0.2">
      <c r="C22" s="28"/>
    </row>
    <row r="26" spans="3:5" x14ac:dyDescent="0.2">
      <c r="E26" s="230"/>
    </row>
  </sheetData>
  <mergeCells count="2">
    <mergeCell ref="AB4:AC4"/>
    <mergeCell ref="AD4:AE4"/>
  </mergeCells>
  <pageMargins left="0.7" right="0.7" top="0.75" bottom="0.75" header="0.3" footer="0.3"/>
  <pageSetup paperSize="9" orientation="portrait" r:id="rId1"/>
  <ignoredErrors>
    <ignoredError sqref="G13 Q13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1D16-02DC-4DFE-AC93-0F17B5F0735F}">
  <dimension ref="A1:S170"/>
  <sheetViews>
    <sheetView showGridLines="0" zoomScaleNormal="100" workbookViewId="0">
      <selection activeCell="I128" sqref="I128"/>
    </sheetView>
  </sheetViews>
  <sheetFormatPr defaultColWidth="9.140625" defaultRowHeight="12.75" x14ac:dyDescent="0.2"/>
  <cols>
    <col min="1" max="1" width="3.28515625" style="20" customWidth="1"/>
    <col min="2" max="2" width="37.28515625" style="20" bestFit="1" customWidth="1"/>
    <col min="3" max="3" width="15" style="20" customWidth="1"/>
    <col min="4" max="4" width="8.5703125" style="20" bestFit="1" customWidth="1"/>
    <col min="5" max="5" width="13.5703125" style="20" bestFit="1" customWidth="1"/>
    <col min="6" max="6" width="11" style="20" customWidth="1"/>
    <col min="7" max="7" width="10.5703125" style="28" bestFit="1" customWidth="1"/>
    <col min="8" max="8" width="9.7109375" style="20" customWidth="1"/>
    <col min="9" max="9" width="9.28515625" style="20" bestFit="1" customWidth="1"/>
    <col min="10" max="10" width="1" style="20" customWidth="1"/>
    <col min="11" max="11" width="37.28515625" style="20" bestFit="1" customWidth="1"/>
    <col min="12" max="12" width="15" style="20" customWidth="1"/>
    <col min="13" max="13" width="8.5703125" style="20" bestFit="1" customWidth="1"/>
    <col min="14" max="14" width="13.5703125" style="20" bestFit="1" customWidth="1"/>
    <col min="15" max="15" width="11" style="20" customWidth="1"/>
    <col min="16" max="16" width="10.5703125" style="28" bestFit="1" customWidth="1"/>
    <col min="17" max="17" width="9.7109375" style="20" customWidth="1"/>
    <col min="18" max="18" width="9.28515625" style="20" bestFit="1" customWidth="1"/>
    <col min="19" max="16384" width="9.140625" style="20"/>
  </cols>
  <sheetData>
    <row r="1" spans="1:19" x14ac:dyDescent="0.2">
      <c r="A1" s="154">
        <f>'2025 IR Data Book'!$A$5</f>
        <v>1</v>
      </c>
    </row>
    <row r="2" spans="1:19" x14ac:dyDescent="0.2">
      <c r="B2" s="258" t="s">
        <v>333</v>
      </c>
      <c r="C2" s="2"/>
      <c r="I2" s="143"/>
      <c r="K2" s="258" t="s">
        <v>333</v>
      </c>
      <c r="L2" s="2"/>
      <c r="R2" s="143"/>
    </row>
    <row r="3" spans="1:19" x14ac:dyDescent="0.2">
      <c r="B3" s="50" t="s">
        <v>356</v>
      </c>
      <c r="G3" s="203"/>
      <c r="I3" s="143"/>
      <c r="K3" s="50" t="s">
        <v>362</v>
      </c>
      <c r="P3" s="203"/>
      <c r="R3" s="143"/>
    </row>
    <row r="4" spans="1:19" x14ac:dyDescent="0.2">
      <c r="B4" s="45" t="s">
        <v>233</v>
      </c>
      <c r="I4" s="143"/>
      <c r="K4" s="45" t="s">
        <v>233</v>
      </c>
      <c r="R4" s="143"/>
    </row>
    <row r="5" spans="1:19" x14ac:dyDescent="0.2">
      <c r="C5" s="142" t="s">
        <v>234</v>
      </c>
      <c r="D5" s="127"/>
      <c r="E5" s="142" t="s">
        <v>234</v>
      </c>
      <c r="I5" s="143"/>
      <c r="L5" s="142" t="s">
        <v>234</v>
      </c>
      <c r="M5" s="127"/>
      <c r="N5" s="142" t="s">
        <v>234</v>
      </c>
      <c r="R5" s="143"/>
    </row>
    <row r="6" spans="1:19" x14ac:dyDescent="0.2">
      <c r="B6" s="128"/>
      <c r="C6" s="142" t="s">
        <v>352</v>
      </c>
      <c r="D6" s="127"/>
      <c r="E6" s="142" t="s">
        <v>320</v>
      </c>
      <c r="G6" s="162" t="s">
        <v>235</v>
      </c>
      <c r="H6" s="142" t="s">
        <v>36</v>
      </c>
      <c r="I6" s="143"/>
      <c r="K6" s="128"/>
      <c r="L6" s="142" t="s">
        <v>360</v>
      </c>
      <c r="M6" s="127"/>
      <c r="N6" s="142" t="s">
        <v>361</v>
      </c>
      <c r="P6" s="162" t="s">
        <v>235</v>
      </c>
      <c r="Q6" s="142" t="s">
        <v>36</v>
      </c>
      <c r="R6" s="143"/>
    </row>
    <row r="7" spans="1:19" ht="6.75" customHeight="1" x14ac:dyDescent="0.2">
      <c r="H7" s="129"/>
      <c r="I7" s="143"/>
      <c r="Q7" s="129"/>
      <c r="R7" s="143"/>
    </row>
    <row r="8" spans="1:19" x14ac:dyDescent="0.2">
      <c r="B8" s="20" t="s">
        <v>236</v>
      </c>
      <c r="C8" s="78">
        <f>'[29]Q4''25 Vs Q4''24 &amp; Bud'!$C$8*3.6726*(('2025 IR Data Book'!$A$5))</f>
        <v>110048.04895447171</v>
      </c>
      <c r="D8" s="130">
        <f>C8/$C$14</f>
        <v>0.31756757442329103</v>
      </c>
      <c r="E8" s="78">
        <f>'[29]Q4''25 Vs Q4''24 &amp; Bud'!$D$8*3.6726*(('2025 IR Data Book'!$A$5))</f>
        <v>135081.26761238734</v>
      </c>
      <c r="F8" s="130">
        <f>E8/$E$14</f>
        <v>0.38276662106077552</v>
      </c>
      <c r="G8" s="132">
        <f>C8-E8</f>
        <v>-25033.218657915626</v>
      </c>
      <c r="H8" s="131">
        <f>(C8/E8)-1</f>
        <v>-0.18531969014199579</v>
      </c>
      <c r="I8" s="143"/>
      <c r="K8" s="20" t="s">
        <v>236</v>
      </c>
      <c r="L8" s="78">
        <f>'[29]YTD''25 Vs YTD''24 &amp; Bud'!$C$8*3.6726*(('2025 IR Data Book'!$A$5))</f>
        <v>436994.33281614975</v>
      </c>
      <c r="M8" s="130">
        <f>L8/$L$14</f>
        <v>0.33586143191305734</v>
      </c>
      <c r="N8" s="78">
        <f>'[29]YTD''25 Vs YTD''24 &amp; Bud'!$D$8*3.6726*(('2025 IR Data Book'!$A$5))</f>
        <v>669202.27857108833</v>
      </c>
      <c r="O8" s="130">
        <f>N8/$N$14</f>
        <v>0.45358428811144913</v>
      </c>
      <c r="P8" s="132">
        <f>L8-N8</f>
        <v>-232207.94575493858</v>
      </c>
      <c r="Q8" s="131">
        <f>(L8/N8)-1</f>
        <v>-0.34699216244565056</v>
      </c>
      <c r="R8" s="143"/>
      <c r="S8" s="28"/>
    </row>
    <row r="9" spans="1:19" x14ac:dyDescent="0.2">
      <c r="B9" s="20" t="s">
        <v>237</v>
      </c>
      <c r="C9" s="78">
        <f>'[29]Q4''25 Vs Q4''24 &amp; Bud'!$C$9*3.6726*(('2025 IR Data Book'!$A$5))</f>
        <v>91332.192451276409</v>
      </c>
      <c r="D9" s="130">
        <f>C9/$C$14</f>
        <v>0.26355890085350303</v>
      </c>
      <c r="E9" s="78">
        <f>'[29]Q4''25 Vs Q4''24 &amp; Bud'!$D$9*3.6726*(('2025 IR Data Book'!$A$5))</f>
        <v>80484.341006557937</v>
      </c>
      <c r="F9" s="130">
        <f>E9/$E$14</f>
        <v>0.22806063194330237</v>
      </c>
      <c r="G9" s="132">
        <f t="shared" ref="G9:G12" si="0">C9-E9</f>
        <v>10847.851444718472</v>
      </c>
      <c r="H9" s="131">
        <f>(C9/E9)-1</f>
        <v>0.13478213661256899</v>
      </c>
      <c r="I9" s="143"/>
      <c r="K9" s="20" t="s">
        <v>237</v>
      </c>
      <c r="L9" s="78">
        <f>'[29]YTD''25 Vs YTD''24 &amp; Bud'!$C$9*3.6726*(('2025 IR Data Book'!$A$5))</f>
        <v>325750.68662973959</v>
      </c>
      <c r="M9" s="130">
        <f>L9/$L$14</f>
        <v>0.25036272519386471</v>
      </c>
      <c r="N9" s="78">
        <f>'[29]YTD''25 Vs YTD''24 &amp; Bud'!$D$9*3.6726*(('2025 IR Data Book'!$A$5))</f>
        <v>298961.24812418205</v>
      </c>
      <c r="O9" s="130">
        <f>N9/$N$14</f>
        <v>0.20263547995213887</v>
      </c>
      <c r="P9" s="132">
        <f t="shared" ref="P9:P12" si="1">L9-N9</f>
        <v>26789.43850555754</v>
      </c>
      <c r="Q9" s="131">
        <f>(L9/N9)-1</f>
        <v>8.9608397990196265E-2</v>
      </c>
      <c r="R9" s="143"/>
    </row>
    <row r="10" spans="1:19" x14ac:dyDescent="0.2">
      <c r="B10" s="20" t="s">
        <v>238</v>
      </c>
      <c r="C10" s="78">
        <f>'[29]Q4''25 Vs Q4''24 &amp; Bud'!$C$10*3.6726*(('2025 IR Data Book'!$A$5))</f>
        <v>97646.402544987694</v>
      </c>
      <c r="D10" s="130">
        <f>C10/$C$14</f>
        <v>0.28177992705896104</v>
      </c>
      <c r="E10" s="78">
        <f>'[29]Q4''25 Vs Q4''24 &amp; Bud'!$D$10*3.6726*(('2025 IR Data Book'!$A$5))</f>
        <v>101285.18560042392</v>
      </c>
      <c r="F10" s="130">
        <f>E10/$E$14</f>
        <v>0.28700195771802628</v>
      </c>
      <c r="G10" s="73">
        <f t="shared" si="0"/>
        <v>-3638.7830554362299</v>
      </c>
      <c r="H10" s="74">
        <f>(C10/E10)-1</f>
        <v>-3.5926113319192043E-2</v>
      </c>
      <c r="I10" s="143"/>
      <c r="K10" s="20" t="s">
        <v>238</v>
      </c>
      <c r="L10" s="78">
        <f>'[29]YTD''25 Vs YTD''24 &amp; Bud'!$C$10*3.6726*(('2025 IR Data Book'!$A$5))</f>
        <v>369955.3123175872</v>
      </c>
      <c r="M10" s="130">
        <f>L10/$L$14</f>
        <v>0.28433714491922857</v>
      </c>
      <c r="N10" s="78">
        <f>'[29]YTD''25 Vs YTD''24 &amp; Bud'!$D$10*3.6726*(('2025 IR Data Book'!$A$5))</f>
        <v>372586.14451170416</v>
      </c>
      <c r="O10" s="130">
        <f>N10/$N$14</f>
        <v>0.25253832291095274</v>
      </c>
      <c r="P10" s="73">
        <f t="shared" si="1"/>
        <v>-2630.8321941169561</v>
      </c>
      <c r="Q10" s="74">
        <f>(L10/N10)-1</f>
        <v>-7.0610038319186552E-3</v>
      </c>
      <c r="R10" s="143"/>
    </row>
    <row r="11" spans="1:19" x14ac:dyDescent="0.2">
      <c r="B11" s="20" t="s">
        <v>239</v>
      </c>
      <c r="C11" s="78">
        <f>'[29]Q4''25 Vs Q4''24 &amp; Bud'!$C$11*3.6726*(('2025 IR Data Book'!$A$5))</f>
        <v>38570.859352905056</v>
      </c>
      <c r="D11" s="130">
        <f>C11/$C$14</f>
        <v>0.11130460162171049</v>
      </c>
      <c r="E11" s="78">
        <f>'[29]Q4''25 Vs Q4''24 &amp; Bud'!$D$11*3.6726*(('2025 IR Data Book'!$A$5))</f>
        <v>28577.839759224495</v>
      </c>
      <c r="F11" s="130">
        <f>E11/$E$14</f>
        <v>8.097823891646351E-2</v>
      </c>
      <c r="G11" s="132">
        <f t="shared" si="0"/>
        <v>9993.0195936805612</v>
      </c>
      <c r="H11" s="131">
        <f>(C11/E11)-1</f>
        <v>0.3496772211571717</v>
      </c>
      <c r="I11" s="143"/>
      <c r="K11" s="20" t="s">
        <v>239</v>
      </c>
      <c r="L11" s="78">
        <f>'[29]YTD''25 Vs YTD''24 &amp; Bud'!$C$11*3.6726*(('2025 IR Data Book'!$A$5))</f>
        <v>135244.32278702312</v>
      </c>
      <c r="M11" s="130">
        <f>L11/$L$14</f>
        <v>0.10394494504456564</v>
      </c>
      <c r="N11" s="78">
        <f>'[29]YTD''25 Vs YTD''24 &amp; Bud'!$D$11*3.6726*(('2025 IR Data Book'!$A$5))</f>
        <v>103908.90061230154</v>
      </c>
      <c r="O11" s="130">
        <f>N11/$N$14</f>
        <v>7.0429295030661518E-2</v>
      </c>
      <c r="P11" s="132">
        <f t="shared" si="1"/>
        <v>31335.422174721578</v>
      </c>
      <c r="Q11" s="131">
        <f>(L11/N11)-1</f>
        <v>0.30156629499563636</v>
      </c>
      <c r="R11" s="143"/>
    </row>
    <row r="12" spans="1:19" x14ac:dyDescent="0.2">
      <c r="B12" s="20" t="s">
        <v>240</v>
      </c>
      <c r="C12" s="78">
        <f>'[29]Q4''25 Vs Q4''24 &amp; Bud'!$C$12*3.6726*(('2025 IR Data Book'!$A$5))</f>
        <v>8936.7710293767414</v>
      </c>
      <c r="D12" s="130">
        <f>C12/$C$14</f>
        <v>2.578899604253446E-2</v>
      </c>
      <c r="E12" s="78">
        <f>'[29]Q4''25 Vs Q4''24 &amp; Bud'!$D$12*3.6726*(('2025 IR Data Book'!$A$5))</f>
        <v>7479.0130832936429</v>
      </c>
      <c r="F12" s="130">
        <f>E12/$E$14</f>
        <v>2.1192550361432357E-2</v>
      </c>
      <c r="G12" s="132">
        <f t="shared" si="0"/>
        <v>1457.7579460830984</v>
      </c>
      <c r="H12" s="131">
        <f>(C12/E12)-1</f>
        <v>0.19491314293050066</v>
      </c>
      <c r="I12" s="143"/>
      <c r="K12" s="20" t="s">
        <v>240</v>
      </c>
      <c r="L12" s="78">
        <f>'[29]YTD''25 Vs YTD''24 &amp; Bud'!$C$12*3.6726*(('2025 IR Data Book'!$A$5))</f>
        <v>33170.303267199844</v>
      </c>
      <c r="M12" s="130">
        <f>L12/$L$14</f>
        <v>2.5493752929283721E-2</v>
      </c>
      <c r="N12" s="78">
        <f>'[29]YTD''25 Vs YTD''24 &amp; Bud'!$D$12*3.6726*(('2025 IR Data Book'!$A$5))</f>
        <v>30706.197444204598</v>
      </c>
      <c r="O12" s="130">
        <f>N12/$N$14</f>
        <v>2.08126139947977E-2</v>
      </c>
      <c r="P12" s="132">
        <f t="shared" si="1"/>
        <v>2464.1058229952469</v>
      </c>
      <c r="Q12" s="131">
        <f>(L12/N12)-1</f>
        <v>8.0247833600129326E-2</v>
      </c>
      <c r="R12" s="143"/>
    </row>
    <row r="13" spans="1:19" x14ac:dyDescent="0.2">
      <c r="C13" s="78"/>
      <c r="D13" s="130"/>
      <c r="E13" s="78"/>
      <c r="F13" s="130"/>
      <c r="G13" s="132"/>
      <c r="H13" s="131"/>
      <c r="I13" s="143"/>
      <c r="L13" s="78"/>
      <c r="M13" s="130"/>
      <c r="N13" s="78"/>
      <c r="O13" s="130"/>
      <c r="P13" s="132"/>
      <c r="Q13" s="131"/>
      <c r="R13" s="143"/>
    </row>
    <row r="14" spans="1:19" x14ac:dyDescent="0.2">
      <c r="B14" s="63" t="s">
        <v>241</v>
      </c>
      <c r="C14" s="79">
        <f>SUM(C8:C12)</f>
        <v>346534.27433301759</v>
      </c>
      <c r="D14" s="130">
        <f>C14/$C$14</f>
        <v>1</v>
      </c>
      <c r="E14" s="79">
        <f>SUM(E8:E12)</f>
        <v>352907.64706188731</v>
      </c>
      <c r="F14" s="130">
        <f>E14/$E$14</f>
        <v>1</v>
      </c>
      <c r="G14" s="133">
        <f>C14-E14</f>
        <v>-6373.3727288697264</v>
      </c>
      <c r="H14" s="134">
        <f>(C14/E14)-1</f>
        <v>-1.8059605060788186E-2</v>
      </c>
      <c r="I14" s="212"/>
      <c r="K14" s="63" t="s">
        <v>241</v>
      </c>
      <c r="L14" s="79">
        <f>SUM(L8:L12)</f>
        <v>1301114.9578176995</v>
      </c>
      <c r="M14" s="130">
        <f>L14/$L$14</f>
        <v>1</v>
      </c>
      <c r="N14" s="79">
        <f>SUM(N8:N12)</f>
        <v>1475364.7692634808</v>
      </c>
      <c r="O14" s="130">
        <f>N14/$N$14</f>
        <v>1</v>
      </c>
      <c r="P14" s="133">
        <f>L14-N14</f>
        <v>-174249.81144578126</v>
      </c>
      <c r="Q14" s="134">
        <f>(L14/N14)-1</f>
        <v>-0.1181062575682682</v>
      </c>
      <c r="R14" s="212"/>
    </row>
    <row r="15" spans="1:19" x14ac:dyDescent="0.2">
      <c r="C15" s="78"/>
      <c r="D15" s="135"/>
      <c r="E15" s="78"/>
      <c r="F15" s="135"/>
      <c r="G15" s="163"/>
      <c r="H15" s="131"/>
      <c r="I15" s="212"/>
      <c r="L15" s="78"/>
      <c r="M15" s="135"/>
      <c r="N15" s="78"/>
      <c r="O15" s="135"/>
      <c r="P15" s="163"/>
      <c r="Q15" s="131"/>
      <c r="R15" s="212"/>
    </row>
    <row r="16" spans="1:19" x14ac:dyDescent="0.2">
      <c r="B16" s="63" t="s">
        <v>40</v>
      </c>
      <c r="C16" s="79">
        <f>'[29]Q4''25 Vs Q4''24 &amp; Bud'!$C$16*3.6726*(('2025 IR Data Book'!$A$5))</f>
        <v>91977.622101101442</v>
      </c>
      <c r="D16" s="130">
        <f>C16/$C$14</f>
        <v>0.26542142845215777</v>
      </c>
      <c r="E16" s="79">
        <f>'[29]Q4''25 Vs Q4''24 &amp; Bud'!$D$16*3.6726*(('2025 IR Data Book'!$A$5))</f>
        <v>90892.171923046568</v>
      </c>
      <c r="F16" s="130">
        <f>E16/$E$14</f>
        <v>0.25755228791374801</v>
      </c>
      <c r="G16" s="133">
        <f>C16-E16</f>
        <v>1085.4501780548744</v>
      </c>
      <c r="H16" s="134">
        <f>(C16/E16)-1</f>
        <v>1.1942174502924896E-2</v>
      </c>
      <c r="I16" s="143"/>
      <c r="K16" s="63" t="s">
        <v>40</v>
      </c>
      <c r="L16" s="79">
        <f>'[29]YTD''25 Vs YTD''24 &amp; Bud'!$C$16*3.6726*(('2025 IR Data Book'!$A$5))</f>
        <v>342869.6173333773</v>
      </c>
      <c r="M16" s="130">
        <f>L16/$L$14</f>
        <v>0.26351984909039611</v>
      </c>
      <c r="N16" s="79">
        <f>'[29]YTD''25 Vs YTD''24 &amp; Bud'!$D$16*3.6726*(('2025 IR Data Book'!$A$5))</f>
        <v>389336.19087949471</v>
      </c>
      <c r="O16" s="130">
        <f>N16/$N$14</f>
        <v>0.26389147890108278</v>
      </c>
      <c r="P16" s="133">
        <f>L16-N16</f>
        <v>-46466.573546117404</v>
      </c>
      <c r="Q16" s="134">
        <f>(L16/N16)-1</f>
        <v>-0.11934819992241485</v>
      </c>
      <c r="R16" s="143"/>
    </row>
    <row r="17" spans="2:18" x14ac:dyDescent="0.2">
      <c r="B17" s="63"/>
      <c r="C17" s="234"/>
      <c r="D17" s="136"/>
      <c r="E17" s="79"/>
      <c r="F17" s="136"/>
      <c r="G17" s="164"/>
      <c r="H17" s="134"/>
      <c r="I17" s="143"/>
      <c r="K17" s="63"/>
      <c r="L17" s="234"/>
      <c r="M17" s="136"/>
      <c r="N17" s="79"/>
      <c r="O17" s="136"/>
      <c r="P17" s="164"/>
      <c r="Q17" s="134"/>
      <c r="R17" s="143"/>
    </row>
    <row r="18" spans="2:18" x14ac:dyDescent="0.2">
      <c r="B18" s="63"/>
      <c r="C18" s="79"/>
      <c r="D18" s="136"/>
      <c r="E18" s="79"/>
      <c r="F18" s="136"/>
      <c r="G18" s="164"/>
      <c r="H18" s="134"/>
      <c r="I18" s="143"/>
      <c r="K18" s="63"/>
      <c r="L18" s="79"/>
      <c r="M18" s="136"/>
      <c r="N18" s="79"/>
      <c r="O18" s="136"/>
      <c r="P18" s="164"/>
      <c r="Q18" s="134"/>
      <c r="R18" s="143"/>
    </row>
    <row r="19" spans="2:18" x14ac:dyDescent="0.2">
      <c r="B19" s="63" t="s">
        <v>242</v>
      </c>
      <c r="C19" s="142" t="str">
        <f>$C$6</f>
        <v>Q4'25</v>
      </c>
      <c r="D19" s="127"/>
      <c r="E19" s="142" t="str">
        <f>$E$6</f>
        <v>Q4'24</v>
      </c>
      <c r="G19" s="162" t="s">
        <v>235</v>
      </c>
      <c r="H19" s="142" t="s">
        <v>36</v>
      </c>
      <c r="I19" s="143"/>
      <c r="K19" s="63" t="s">
        <v>242</v>
      </c>
      <c r="L19" s="142" t="str">
        <f>$L$6</f>
        <v>FY '25</v>
      </c>
      <c r="M19" s="127"/>
      <c r="N19" s="142" t="str">
        <f>$N$6</f>
        <v xml:space="preserve">FY '24 </v>
      </c>
      <c r="P19" s="162" t="s">
        <v>235</v>
      </c>
      <c r="Q19" s="142" t="s">
        <v>36</v>
      </c>
      <c r="R19" s="143"/>
    </row>
    <row r="20" spans="2:18" x14ac:dyDescent="0.2">
      <c r="B20" s="20" t="s">
        <v>237</v>
      </c>
      <c r="C20" s="76">
        <v>6829562</v>
      </c>
      <c r="D20" s="77"/>
      <c r="E20" s="76">
        <v>6529833</v>
      </c>
      <c r="F20" s="137"/>
      <c r="G20" s="132">
        <f t="shared" ref="G20:G22" si="2">C20-E20</f>
        <v>299729</v>
      </c>
      <c r="H20" s="131">
        <f t="shared" ref="H20:H22" si="3">(C20/E20)-1</f>
        <v>4.5901480175679854E-2</v>
      </c>
      <c r="I20" s="144"/>
      <c r="K20" s="20" t="s">
        <v>237</v>
      </c>
      <c r="L20" s="76">
        <v>25398566</v>
      </c>
      <c r="M20" s="77"/>
      <c r="N20" s="76">
        <v>24369905</v>
      </c>
      <c r="O20" s="137"/>
      <c r="P20" s="132">
        <f t="shared" ref="P20:P22" si="4">L20-N20</f>
        <v>1028661</v>
      </c>
      <c r="Q20" s="131">
        <f t="shared" ref="Q20:Q22" si="5">(L20/N20)-1</f>
        <v>4.2210299958083564E-2</v>
      </c>
      <c r="R20" s="144"/>
    </row>
    <row r="21" spans="2:18" x14ac:dyDescent="0.2">
      <c r="B21" s="20" t="s">
        <v>236</v>
      </c>
      <c r="C21" s="76">
        <v>834351</v>
      </c>
      <c r="D21" s="77"/>
      <c r="E21" s="76">
        <v>1411422</v>
      </c>
      <c r="F21" s="136"/>
      <c r="G21" s="132">
        <f t="shared" si="2"/>
        <v>-577071</v>
      </c>
      <c r="H21" s="131">
        <f t="shared" si="3"/>
        <v>-0.4088578752492168</v>
      </c>
      <c r="I21" s="143"/>
      <c r="K21" s="20" t="s">
        <v>236</v>
      </c>
      <c r="L21" s="76">
        <v>3774711</v>
      </c>
      <c r="M21" s="77"/>
      <c r="N21" s="76">
        <v>8797109</v>
      </c>
      <c r="O21" s="136"/>
      <c r="P21" s="132">
        <f t="shared" si="4"/>
        <v>-5022398</v>
      </c>
      <c r="Q21" s="131">
        <f t="shared" si="5"/>
        <v>-0.57091460387725101</v>
      </c>
      <c r="R21" s="143"/>
    </row>
    <row r="22" spans="2:18" x14ac:dyDescent="0.2">
      <c r="B22" s="138"/>
      <c r="C22" s="239">
        <f>C21+C20</f>
        <v>7663913</v>
      </c>
      <c r="D22" s="239"/>
      <c r="E22" s="239">
        <f>E21+E20</f>
        <v>7941255</v>
      </c>
      <c r="F22" s="138"/>
      <c r="G22" s="236">
        <f t="shared" si="2"/>
        <v>-277342</v>
      </c>
      <c r="H22" s="237">
        <f t="shared" si="3"/>
        <v>-3.4924202786587255E-2</v>
      </c>
      <c r="I22" s="145"/>
      <c r="K22" s="138"/>
      <c r="L22" s="239">
        <f>L21+L20</f>
        <v>29173277</v>
      </c>
      <c r="M22" s="239"/>
      <c r="N22" s="239">
        <f>N21+N20</f>
        <v>33167014</v>
      </c>
      <c r="O22" s="138"/>
      <c r="P22" s="236">
        <f t="shared" si="4"/>
        <v>-3993737</v>
      </c>
      <c r="Q22" s="237">
        <f t="shared" si="5"/>
        <v>-0.12041291989685898</v>
      </c>
      <c r="R22" s="145"/>
    </row>
    <row r="23" spans="2:18" x14ac:dyDescent="0.2">
      <c r="I23" s="143"/>
      <c r="N23" s="139"/>
      <c r="R23" s="143"/>
    </row>
    <row r="24" spans="2:18" x14ac:dyDescent="0.2">
      <c r="B24" s="63" t="s">
        <v>243</v>
      </c>
      <c r="I24" s="143"/>
      <c r="K24" s="63" t="s">
        <v>243</v>
      </c>
      <c r="R24" s="143"/>
    </row>
    <row r="25" spans="2:18" x14ac:dyDescent="0.2">
      <c r="B25" s="50" t="str">
        <f>B3</f>
        <v>Q4'25 vs Q4'24</v>
      </c>
      <c r="I25" s="143"/>
      <c r="K25" s="50" t="str">
        <f>K3</f>
        <v>FY '25  vs FY '24</v>
      </c>
      <c r="R25" s="143"/>
    </row>
    <row r="26" spans="2:18" x14ac:dyDescent="0.2">
      <c r="B26" s="45" t="s">
        <v>233</v>
      </c>
      <c r="I26" s="143"/>
      <c r="K26" s="45" t="s">
        <v>233</v>
      </c>
      <c r="R26" s="143"/>
    </row>
    <row r="27" spans="2:18" x14ac:dyDescent="0.2">
      <c r="C27" s="142" t="s">
        <v>234</v>
      </c>
      <c r="D27" s="127"/>
      <c r="E27" s="142" t="s">
        <v>234</v>
      </c>
      <c r="I27" s="143"/>
      <c r="L27" s="142" t="s">
        <v>234</v>
      </c>
      <c r="M27" s="127"/>
      <c r="N27" s="142" t="s">
        <v>234</v>
      </c>
      <c r="R27" s="143"/>
    </row>
    <row r="28" spans="2:18" x14ac:dyDescent="0.2">
      <c r="B28" s="128"/>
      <c r="C28" s="142" t="str">
        <f>$C$6</f>
        <v>Q4'25</v>
      </c>
      <c r="D28" s="127"/>
      <c r="E28" s="142" t="str">
        <f>$E$6</f>
        <v>Q4'24</v>
      </c>
      <c r="G28" s="162" t="s">
        <v>235</v>
      </c>
      <c r="H28" s="142" t="s">
        <v>36</v>
      </c>
      <c r="I28" s="143"/>
      <c r="K28" s="128"/>
      <c r="L28" s="142" t="str">
        <f>$L$6</f>
        <v>FY '25</v>
      </c>
      <c r="M28" s="127"/>
      <c r="N28" s="142" t="str">
        <f>$N$6</f>
        <v xml:space="preserve">FY '24 </v>
      </c>
      <c r="P28" s="162" t="s">
        <v>235</v>
      </c>
      <c r="Q28" s="142" t="s">
        <v>36</v>
      </c>
      <c r="R28" s="143"/>
    </row>
    <row r="29" spans="2:18" x14ac:dyDescent="0.2">
      <c r="H29" s="129"/>
      <c r="I29" s="143"/>
      <c r="Q29" s="129"/>
      <c r="R29" s="143"/>
    </row>
    <row r="30" spans="2:18" x14ac:dyDescent="0.2">
      <c r="B30" s="20" t="s">
        <v>236</v>
      </c>
      <c r="C30" s="78">
        <f>'[29]Q4''25 Vs Q4''24 &amp; Bud'!$G$8*3.6726*(('2025 IR Data Book'!$A$5))</f>
        <v>176343.53610986934</v>
      </c>
      <c r="D30" s="130">
        <f>C30/$C$36</f>
        <v>0.26035717165421307</v>
      </c>
      <c r="E30" s="78">
        <f>'[29]Q4''25 Vs Q4''24 &amp; Bud'!$H$8*3.6726*(('2025 IR Data Book'!$A$5))</f>
        <v>183142.50971341479</v>
      </c>
      <c r="F30" s="130">
        <f>E30/$E$36</f>
        <v>0.27257929421737703</v>
      </c>
      <c r="G30" s="132">
        <f>C30-E30</f>
        <v>-6798.9736035454553</v>
      </c>
      <c r="H30" s="131">
        <f>(C30/E30)-1</f>
        <v>-3.7123951256235577E-2</v>
      </c>
      <c r="I30" s="143"/>
      <c r="K30" s="20" t="s">
        <v>236</v>
      </c>
      <c r="L30" s="78">
        <f>'[29]YTD''25 Vs YTD''24 &amp; Bud'!$G$8*3.6726*(('2025 IR Data Book'!$A$5))</f>
        <v>693087.41088987037</v>
      </c>
      <c r="M30" s="130">
        <f>L30/$L$36</f>
        <v>0.25813950922707135</v>
      </c>
      <c r="N30" s="78">
        <f>'[29]YTD''25 Vs YTD''24 &amp; Bud'!$H$8*3.6726*(('2025 IR Data Book'!$A$5))</f>
        <v>666213.80010495696</v>
      </c>
      <c r="O30" s="130">
        <f>N30/$N$36</f>
        <v>0.26681811450055964</v>
      </c>
      <c r="P30" s="132">
        <f>L30-N30</f>
        <v>26873.610784913413</v>
      </c>
      <c r="Q30" s="131">
        <f>(L30/N30)-1</f>
        <v>4.0337817650549557E-2</v>
      </c>
      <c r="R30" s="143"/>
    </row>
    <row r="31" spans="2:18" x14ac:dyDescent="0.2">
      <c r="B31" s="20" t="s">
        <v>237</v>
      </c>
      <c r="C31" s="78">
        <f>'[29]Q4''25 Vs Q4''24 &amp; Bud'!$G$9*3.6726*(('2025 IR Data Book'!$A$5))</f>
        <v>188235.51594974767</v>
      </c>
      <c r="D31" s="130">
        <f t="shared" ref="D31:D34" si="6">C31/$C$36</f>
        <v>0.27791473177113513</v>
      </c>
      <c r="E31" s="78">
        <f>'[29]Q4''25 Vs Q4''24 &amp; Bud'!$H$9*3.6726*(('2025 IR Data Book'!$A$5))</f>
        <v>171954.34621649978</v>
      </c>
      <c r="F31" s="130">
        <f t="shared" ref="F31:F34" si="7">E31/$E$36</f>
        <v>0.25592744362108516</v>
      </c>
      <c r="G31" s="132">
        <f t="shared" ref="G31:G34" si="8">C31-E31</f>
        <v>16281.169733247894</v>
      </c>
      <c r="H31" s="131">
        <f>(C31/E31)-1</f>
        <v>9.4683095202194201E-2</v>
      </c>
      <c r="I31" s="143"/>
      <c r="K31" s="20" t="s">
        <v>237</v>
      </c>
      <c r="L31" s="78">
        <f>'[29]YTD''25 Vs YTD''24 &amp; Bud'!$G$9*3.6726*(('2025 IR Data Book'!$A$5))</f>
        <v>724784.89370564278</v>
      </c>
      <c r="M31" s="130">
        <f>L31/$L$36</f>
        <v>0.26994519568051811</v>
      </c>
      <c r="N31" s="78">
        <f>'[29]YTD''25 Vs YTD''24 &amp; Bud'!$H$9*3.6726*(('2025 IR Data Book'!$A$5))</f>
        <v>637365.74292604101</v>
      </c>
      <c r="O31" s="130">
        <f>N31/$N$36</f>
        <v>0.25526448978988864</v>
      </c>
      <c r="P31" s="132">
        <f t="shared" ref="P31:P34" si="9">L31-N31</f>
        <v>87419.150779601769</v>
      </c>
      <c r="Q31" s="131">
        <f>(L31/N31)-1</f>
        <v>0.1371569648194062</v>
      </c>
      <c r="R31" s="143"/>
    </row>
    <row r="32" spans="2:18" x14ac:dyDescent="0.2">
      <c r="B32" s="20" t="s">
        <v>238</v>
      </c>
      <c r="C32" s="78">
        <f>'[29]Q4''25 Vs Q4''24 &amp; Bud'!$G$10*3.6726*(('2025 IR Data Book'!$A$5))</f>
        <v>243036.90820023243</v>
      </c>
      <c r="D32" s="130">
        <f t="shared" si="6"/>
        <v>0.35882461825634099</v>
      </c>
      <c r="E32" s="78">
        <f>'[29]Q4''25 Vs Q4''24 &amp; Bud'!$H$10*3.6726*(('2025 IR Data Book'!$A$5))</f>
        <v>245351.13007387958</v>
      </c>
      <c r="F32" s="130">
        <f t="shared" si="7"/>
        <v>0.36516720217291709</v>
      </c>
      <c r="G32" s="73">
        <f t="shared" si="8"/>
        <v>-2314.221873647155</v>
      </c>
      <c r="H32" s="74">
        <f>(C32/E32)-1</f>
        <v>-9.4322853656728656E-3</v>
      </c>
      <c r="I32" s="143"/>
      <c r="K32" s="20" t="s">
        <v>238</v>
      </c>
      <c r="L32" s="78">
        <f>'[29]YTD''25 Vs YTD''24 &amp; Bud'!$G$10*3.6726*(('2025 IR Data Book'!$A$5))</f>
        <v>978558.56644863193</v>
      </c>
      <c r="M32" s="130">
        <f>L32/$L$36</f>
        <v>0.36446287167252339</v>
      </c>
      <c r="N32" s="78">
        <f>'[29]YTD''25 Vs YTD''24 &amp; Bud'!$H$10*3.6726*(('2025 IR Data Book'!$A$5))</f>
        <v>931934.82844483526</v>
      </c>
      <c r="O32" s="130">
        <f>N32/$N$36</f>
        <v>0.37323918196212602</v>
      </c>
      <c r="P32" s="73">
        <f t="shared" si="9"/>
        <v>46623.738003796665</v>
      </c>
      <c r="Q32" s="74">
        <f>(L32/N32)-1</f>
        <v>5.0028968314876687E-2</v>
      </c>
      <c r="R32" s="143"/>
    </row>
    <row r="33" spans="2:18" x14ac:dyDescent="0.2">
      <c r="B33" s="20" t="s">
        <v>239</v>
      </c>
      <c r="C33" s="78">
        <f>'[29]Q4''25 Vs Q4''24 &amp; Bud'!$G$11*3.6726*(('2025 IR Data Book'!$A$5))</f>
        <v>68647.010216893847</v>
      </c>
      <c r="D33" s="130">
        <f t="shared" si="6"/>
        <v>0.10135183753745809</v>
      </c>
      <c r="E33" s="78">
        <f>'[29]Q4''25 Vs Q4''24 &amp; Bud'!$H$11*3.6726*(('2025 IR Data Book'!$A$5))</f>
        <v>69708.240209996467</v>
      </c>
      <c r="F33" s="130">
        <f t="shared" si="7"/>
        <v>0.1037499319372079</v>
      </c>
      <c r="G33" s="132">
        <f t="shared" si="8"/>
        <v>-1061.2299931026209</v>
      </c>
      <c r="H33" s="131">
        <f>(C33/E33)-1</f>
        <v>-1.522388156558907E-2</v>
      </c>
      <c r="I33" s="143"/>
      <c r="K33" s="20" t="s">
        <v>239</v>
      </c>
      <c r="L33" s="78">
        <f>'[29]YTD''25 Vs YTD''24 &amp; Bud'!$G$11*3.6726*(('2025 IR Data Book'!$A$5))</f>
        <v>284163.43604413414</v>
      </c>
      <c r="M33" s="130">
        <f>L33/$L$36</f>
        <v>0.1058363040046139</v>
      </c>
      <c r="N33" s="78">
        <f>'[29]YTD''25 Vs YTD''24 &amp; Bud'!$H$11*3.6726*(('2025 IR Data Book'!$A$5))</f>
        <v>254402.1047207877</v>
      </c>
      <c r="O33" s="130">
        <f>N33/$N$36</f>
        <v>0.10188784725846367</v>
      </c>
      <c r="P33" s="132">
        <f t="shared" si="9"/>
        <v>29761.331323346443</v>
      </c>
      <c r="Q33" s="131">
        <f>(L33/N33)-1</f>
        <v>0.11698539741253411</v>
      </c>
      <c r="R33" s="143"/>
    </row>
    <row r="34" spans="2:18" x14ac:dyDescent="0.2">
      <c r="B34" s="20" t="s">
        <v>240</v>
      </c>
      <c r="C34" s="78">
        <f>'[29]Q4''25 Vs Q4''24 &amp; Bud'!$G$12*3.6726*(('2025 IR Data Book'!$A$5))</f>
        <v>1050.9478971881476</v>
      </c>
      <c r="D34" s="130">
        <f t="shared" si="6"/>
        <v>1.5516407808527277E-3</v>
      </c>
      <c r="E34" s="78">
        <f>'[29]Q4''25 Vs Q4''24 &amp; Bud'!$H$12*3.6726*(('2025 IR Data Book'!$A$5))</f>
        <v>1730.8671886963937</v>
      </c>
      <c r="F34" s="130">
        <f t="shared" si="7"/>
        <v>2.5761280514128519E-3</v>
      </c>
      <c r="G34" s="132">
        <f t="shared" si="8"/>
        <v>-679.91929150824603</v>
      </c>
      <c r="H34" s="131">
        <f>(C34/E34)-1</f>
        <v>-0.39282002452211751</v>
      </c>
      <c r="I34" s="143"/>
      <c r="K34" s="20" t="s">
        <v>240</v>
      </c>
      <c r="L34" s="78">
        <f>'[29]YTD''25 Vs YTD''24 &amp; Bud'!$G$12*3.6726*(('2025 IR Data Book'!$A$5))</f>
        <v>4339.1731260917741</v>
      </c>
      <c r="M34" s="130">
        <f>L34/$L$36</f>
        <v>1.6161194152733069E-3</v>
      </c>
      <c r="N34" s="78">
        <f>'[29]YTD''25 Vs YTD''24 &amp; Bud'!$H$12*3.6726*(('2025 IR Data Book'!$A$5))</f>
        <v>6967.2205943608842</v>
      </c>
      <c r="O34" s="130">
        <f>N34/$N$36</f>
        <v>2.790366488961909E-3</v>
      </c>
      <c r="P34" s="132">
        <f t="shared" si="9"/>
        <v>-2628.0474682691101</v>
      </c>
      <c r="Q34" s="131">
        <f>(L34/N34)-1</f>
        <v>-0.37720170226793082</v>
      </c>
      <c r="R34" s="143"/>
    </row>
    <row r="35" spans="2:18" x14ac:dyDescent="0.2">
      <c r="C35" s="78"/>
      <c r="D35" s="130"/>
      <c r="E35" s="78"/>
      <c r="F35" s="130"/>
      <c r="G35" s="132"/>
      <c r="H35" s="131"/>
      <c r="I35" s="143"/>
      <c r="L35" s="78"/>
      <c r="M35" s="130"/>
      <c r="N35" s="78"/>
      <c r="O35" s="130"/>
      <c r="P35" s="132"/>
      <c r="Q35" s="131"/>
      <c r="R35" s="143"/>
    </row>
    <row r="36" spans="2:18" x14ac:dyDescent="0.2">
      <c r="B36" s="63" t="s">
        <v>241</v>
      </c>
      <c r="C36" s="79">
        <f>SUM(C30:C34)</f>
        <v>677313.91837393143</v>
      </c>
      <c r="D36" s="130">
        <f>C36/$C$36</f>
        <v>1</v>
      </c>
      <c r="E36" s="79">
        <f>SUM(E30:E34)</f>
        <v>671887.09340248699</v>
      </c>
      <c r="F36" s="130">
        <f>E36/$E$36</f>
        <v>1</v>
      </c>
      <c r="G36" s="133">
        <f>C36-E36</f>
        <v>5426.8249714444391</v>
      </c>
      <c r="H36" s="134">
        <f>(C36/E36)-1</f>
        <v>8.076989459586903E-3</v>
      </c>
      <c r="I36" s="212"/>
      <c r="K36" s="63" t="s">
        <v>241</v>
      </c>
      <c r="L36" s="79">
        <f>SUM(L30:L34)</f>
        <v>2684933.4802143709</v>
      </c>
      <c r="M36" s="130">
        <f>L36/$L$36</f>
        <v>1</v>
      </c>
      <c r="N36" s="79">
        <f>SUM(N30:N34)</f>
        <v>2496883.696790982</v>
      </c>
      <c r="O36" s="130">
        <f>N36/$N$36</f>
        <v>1</v>
      </c>
      <c r="P36" s="133">
        <f>L36-N36</f>
        <v>188049.78342338884</v>
      </c>
      <c r="Q36" s="134">
        <f>(L36/N36)-1</f>
        <v>7.5313793616047064E-2</v>
      </c>
      <c r="R36" s="212"/>
    </row>
    <row r="37" spans="2:18" x14ac:dyDescent="0.2">
      <c r="C37" s="78"/>
      <c r="D37" s="135"/>
      <c r="E37" s="78"/>
      <c r="F37" s="135"/>
      <c r="G37" s="163"/>
      <c r="H37" s="131"/>
      <c r="I37" s="212"/>
      <c r="L37" s="78"/>
      <c r="M37" s="135"/>
      <c r="N37" s="78"/>
      <c r="O37" s="135"/>
      <c r="P37" s="163"/>
      <c r="Q37" s="131"/>
      <c r="R37" s="212"/>
    </row>
    <row r="38" spans="2:18" x14ac:dyDescent="0.2">
      <c r="B38" s="63" t="s">
        <v>40</v>
      </c>
      <c r="C38" s="79">
        <f>'[29]Q4''25 Vs Q4''24 &amp; Bud'!$G$16*3.6726*(('2025 IR Data Book'!$A$5))</f>
        <v>166492.77503657152</v>
      </c>
      <c r="D38" s="130">
        <f>C38/$C$36</f>
        <v>0.2458133083050778</v>
      </c>
      <c r="E38" s="79">
        <f>'[29]Q4''25 Vs Q4''24 &amp; Bud'!$H$16*3.6726*(('2025 IR Data Book'!$A$5))</f>
        <v>167280.44444060151</v>
      </c>
      <c r="F38" s="130">
        <f>E38/$E$36</f>
        <v>0.24897106386354395</v>
      </c>
      <c r="G38" s="133">
        <f>C38-E38</f>
        <v>-787.66940402999171</v>
      </c>
      <c r="H38" s="134">
        <f>(C38/E38)-1</f>
        <v>-4.7086759403588418E-3</v>
      </c>
      <c r="I38" s="146"/>
      <c r="K38" s="63" t="s">
        <v>40</v>
      </c>
      <c r="L38" s="79">
        <f>'[29]YTD''25 Vs YTD''24 &amp; Bud'!$G$16*3.6726*(('2025 IR Data Book'!$A$5))</f>
        <v>635912.35484198155</v>
      </c>
      <c r="M38" s="130">
        <f>L38/$L$36</f>
        <v>0.23684473359511646</v>
      </c>
      <c r="N38" s="79">
        <f>'[29]YTD''25 Vs YTD''24 &amp; Bud'!$H$16*3.6726*(('2025 IR Data Book'!$A$5))</f>
        <v>617291.17453458393</v>
      </c>
      <c r="O38" s="130">
        <f>N38/$N$36</f>
        <v>0.24722464059016133</v>
      </c>
      <c r="P38" s="133">
        <f>L38-N38</f>
        <v>18621.180307397619</v>
      </c>
      <c r="Q38" s="134">
        <f>(L38/N38)-1</f>
        <v>3.0165959073426452E-2</v>
      </c>
      <c r="R38" s="146"/>
    </row>
    <row r="39" spans="2:18" x14ac:dyDescent="0.2">
      <c r="I39" s="143"/>
      <c r="R39" s="143"/>
    </row>
    <row r="40" spans="2:18" x14ac:dyDescent="0.2">
      <c r="B40" s="63" t="s">
        <v>242</v>
      </c>
      <c r="C40" s="142" t="str">
        <f>$C$6</f>
        <v>Q4'25</v>
      </c>
      <c r="D40" s="127"/>
      <c r="E40" s="142" t="str">
        <f>$E$6</f>
        <v>Q4'24</v>
      </c>
      <c r="G40" s="162" t="s">
        <v>235</v>
      </c>
      <c r="H40" s="142" t="s">
        <v>36</v>
      </c>
      <c r="I40" s="143"/>
      <c r="K40" s="63" t="s">
        <v>242</v>
      </c>
      <c r="L40" s="142" t="str">
        <f>$L$6</f>
        <v>FY '25</v>
      </c>
      <c r="M40" s="127"/>
      <c r="N40" s="142" t="str">
        <f>$N$6</f>
        <v xml:space="preserve">FY '24 </v>
      </c>
      <c r="P40" s="162" t="s">
        <v>235</v>
      </c>
      <c r="Q40" s="142" t="s">
        <v>36</v>
      </c>
      <c r="R40" s="143"/>
    </row>
    <row r="41" spans="2:18" x14ac:dyDescent="0.2">
      <c r="B41" s="20" t="s">
        <v>237</v>
      </c>
      <c r="C41" s="75">
        <v>11599909</v>
      </c>
      <c r="D41" s="75"/>
      <c r="E41" s="75">
        <v>10058260</v>
      </c>
      <c r="F41" s="81"/>
      <c r="G41" s="132">
        <f t="shared" ref="G41:G43" si="10">C41-E41</f>
        <v>1541649</v>
      </c>
      <c r="H41" s="131">
        <f t="shared" ref="H41:H43" si="11">(C41/E41)-1</f>
        <v>0.15327193769101211</v>
      </c>
      <c r="I41" s="144"/>
      <c r="K41" s="20" t="s">
        <v>237</v>
      </c>
      <c r="L41" s="75">
        <v>43651319</v>
      </c>
      <c r="M41" s="75"/>
      <c r="N41" s="75">
        <v>36162084</v>
      </c>
      <c r="O41" s="81"/>
      <c r="P41" s="132">
        <f t="shared" ref="P41:P43" si="12">L41-N41</f>
        <v>7489235</v>
      </c>
      <c r="Q41" s="131">
        <f t="shared" ref="Q41:Q43" si="13">(L41/N41)-1</f>
        <v>0.20710186393018715</v>
      </c>
      <c r="R41" s="144"/>
    </row>
    <row r="42" spans="2:18" x14ac:dyDescent="0.2">
      <c r="B42" s="20" t="s">
        <v>236</v>
      </c>
      <c r="C42" s="240">
        <v>2111717</v>
      </c>
      <c r="D42" s="241"/>
      <c r="E42" s="240">
        <v>2357058</v>
      </c>
      <c r="F42" s="136"/>
      <c r="G42" s="132">
        <f t="shared" si="10"/>
        <v>-245341</v>
      </c>
      <c r="H42" s="131">
        <f t="shared" si="11"/>
        <v>-0.10408780776714022</v>
      </c>
      <c r="I42" s="143"/>
      <c r="K42" s="20" t="s">
        <v>236</v>
      </c>
      <c r="L42" s="240">
        <v>8355008</v>
      </c>
      <c r="M42" s="241"/>
      <c r="N42" s="240">
        <v>7798038</v>
      </c>
      <c r="O42" s="136"/>
      <c r="P42" s="132">
        <f t="shared" si="12"/>
        <v>556970</v>
      </c>
      <c r="Q42" s="131">
        <f t="shared" si="13"/>
        <v>7.1424376234124454E-2</v>
      </c>
      <c r="R42" s="143"/>
    </row>
    <row r="43" spans="2:18" x14ac:dyDescent="0.2">
      <c r="B43" s="138"/>
      <c r="C43" s="239">
        <f>C42+C41</f>
        <v>13711626</v>
      </c>
      <c r="D43" s="239"/>
      <c r="E43" s="239">
        <f>E42+E41</f>
        <v>12415318</v>
      </c>
      <c r="F43" s="138"/>
      <c r="G43" s="236">
        <f t="shared" si="10"/>
        <v>1296308</v>
      </c>
      <c r="H43" s="237">
        <f t="shared" si="11"/>
        <v>0.1044119852588552</v>
      </c>
      <c r="I43" s="145"/>
      <c r="K43" s="138"/>
      <c r="L43" s="239">
        <f>L42+L41</f>
        <v>52006327</v>
      </c>
      <c r="M43" s="239"/>
      <c r="N43" s="239">
        <f>N42+N41</f>
        <v>43960122</v>
      </c>
      <c r="O43" s="138"/>
      <c r="P43" s="236">
        <f t="shared" si="12"/>
        <v>8046205</v>
      </c>
      <c r="Q43" s="237">
        <f t="shared" si="13"/>
        <v>0.18303418266218641</v>
      </c>
      <c r="R43" s="145"/>
    </row>
    <row r="44" spans="2:18" x14ac:dyDescent="0.2">
      <c r="I44" s="143"/>
      <c r="R44" s="143"/>
    </row>
    <row r="45" spans="2:18" x14ac:dyDescent="0.2">
      <c r="B45" s="258" t="s">
        <v>334</v>
      </c>
      <c r="I45" s="143"/>
      <c r="K45" s="258" t="s">
        <v>334</v>
      </c>
      <c r="R45" s="143"/>
    </row>
    <row r="46" spans="2:18" x14ac:dyDescent="0.2">
      <c r="B46" s="50" t="str">
        <f>$B$3</f>
        <v>Q4'25 vs Q4'24</v>
      </c>
      <c r="I46" s="143"/>
      <c r="K46" s="50" t="str">
        <f>$K$3</f>
        <v>FY '25  vs FY '24</v>
      </c>
      <c r="R46" s="143"/>
    </row>
    <row r="47" spans="2:18" x14ac:dyDescent="0.2">
      <c r="B47" s="45" t="s">
        <v>233</v>
      </c>
      <c r="I47" s="143"/>
      <c r="K47" s="45" t="s">
        <v>233</v>
      </c>
      <c r="R47" s="143"/>
    </row>
    <row r="48" spans="2:18" x14ac:dyDescent="0.2">
      <c r="C48" s="142" t="s">
        <v>234</v>
      </c>
      <c r="D48" s="127"/>
      <c r="E48" s="142" t="s">
        <v>234</v>
      </c>
      <c r="I48" s="143"/>
      <c r="L48" s="142" t="s">
        <v>234</v>
      </c>
      <c r="M48" s="127"/>
      <c r="N48" s="142" t="s">
        <v>234</v>
      </c>
      <c r="R48" s="143"/>
    </row>
    <row r="49" spans="2:18" x14ac:dyDescent="0.2">
      <c r="B49" s="128"/>
      <c r="C49" s="142" t="str">
        <f>$C$6</f>
        <v>Q4'25</v>
      </c>
      <c r="D49" s="127"/>
      <c r="E49" s="142" t="str">
        <f>$E$6</f>
        <v>Q4'24</v>
      </c>
      <c r="G49" s="162" t="s">
        <v>235</v>
      </c>
      <c r="H49" s="142" t="s">
        <v>36</v>
      </c>
      <c r="I49" s="143"/>
      <c r="K49" s="128"/>
      <c r="L49" s="142" t="str">
        <f>$L$6</f>
        <v>FY '25</v>
      </c>
      <c r="M49" s="127"/>
      <c r="N49" s="142" t="str">
        <f>$N$6</f>
        <v xml:space="preserve">FY '24 </v>
      </c>
      <c r="P49" s="162" t="s">
        <v>235</v>
      </c>
      <c r="Q49" s="142" t="s">
        <v>36</v>
      </c>
      <c r="R49" s="143"/>
    </row>
    <row r="50" spans="2:18" x14ac:dyDescent="0.2">
      <c r="H50" s="129"/>
      <c r="I50" s="143"/>
      <c r="Q50" s="129"/>
      <c r="R50" s="143"/>
    </row>
    <row r="51" spans="2:18" x14ac:dyDescent="0.2">
      <c r="B51" s="20" t="s">
        <v>236</v>
      </c>
      <c r="C51" s="78">
        <f>'[29]Q4''25 Vs Q4''24 &amp; Bud'!$K$8*3.6726*(('2025 IR Data Book'!$A$5))</f>
        <v>219632.21615351463</v>
      </c>
      <c r="D51" s="130">
        <f>C51/$C$57</f>
        <v>0.63580657626264359</v>
      </c>
      <c r="E51" s="78">
        <f>'[29]Q4''25 Vs Q4''24 &amp; Bud'!$L$8*3.6726*(('2025 IR Data Book'!$A$5))</f>
        <v>221858.86729057418</v>
      </c>
      <c r="F51" s="130">
        <f>E51/$E$57</f>
        <v>0.66231895784836792</v>
      </c>
      <c r="G51" s="132">
        <f>C51-E51</f>
        <v>-2226.6511370595545</v>
      </c>
      <c r="H51" s="131">
        <f>(C51/E51)-1</f>
        <v>-1.0036340508956298E-2</v>
      </c>
      <c r="I51" s="143"/>
      <c r="K51" s="20" t="s">
        <v>236</v>
      </c>
      <c r="L51" s="78">
        <f>'[29]YTD''25 Vs YTD''24 &amp; Bud'!$K$8*3.6726*(('2025 IR Data Book'!$A$5))</f>
        <v>768635.2926576602</v>
      </c>
      <c r="M51" s="130">
        <f>L51/$L$57</f>
        <v>0.62097053471815367</v>
      </c>
      <c r="N51" s="78">
        <f>'[29]YTD''25 Vs YTD''24 &amp; Bud'!$L$8*3.6726*(('2025 IR Data Book'!$A$5))</f>
        <v>790953.07482550456</v>
      </c>
      <c r="O51" s="130">
        <f>N51/$N$57</f>
        <v>0.65165097591593524</v>
      </c>
      <c r="P51" s="132">
        <f>L51-N51</f>
        <v>-22317.782167844358</v>
      </c>
      <c r="Q51" s="131">
        <f>(L51/N51)-1</f>
        <v>-2.8216316338068426E-2</v>
      </c>
      <c r="R51" s="143"/>
    </row>
    <row r="52" spans="2:18" x14ac:dyDescent="0.2">
      <c r="B52" s="20" t="s">
        <v>237</v>
      </c>
      <c r="C52" s="78">
        <f>'[29]Q4''25 Vs Q4''24 &amp; Bud'!$K$9*3.6726*(('2025 IR Data Book'!$A$5))</f>
        <v>140.90920482663191</v>
      </c>
      <c r="D52" s="130">
        <f t="shared" ref="D52:D55" si="14">C52/$C$57</f>
        <v>4.0791374168028098E-4</v>
      </c>
      <c r="E52" s="242">
        <f>'[29]Q4''25 Vs Q4''24 &amp; Bud'!$L$9*3.6726*(('2025 IR Data Book'!$A$5))</f>
        <v>491.61065614840237</v>
      </c>
      <c r="F52" s="130">
        <f t="shared" ref="F52:F55" si="15">E52/$E$57</f>
        <v>1.4676134491433763E-3</v>
      </c>
      <c r="G52" s="132">
        <f t="shared" ref="G52:G55" si="16">C52-E52</f>
        <v>-350.70145132177049</v>
      </c>
      <c r="H52" s="131">
        <f>(C52/E52)-1</f>
        <v>-0.71337235459742421</v>
      </c>
      <c r="I52" s="143"/>
      <c r="K52" s="20" t="s">
        <v>237</v>
      </c>
      <c r="L52" s="78">
        <f>'[29]YTD''25 Vs YTD''24 &amp; Bud'!$K$9*3.6726*(('2025 IR Data Book'!$A$5))</f>
        <v>577.31170029023303</v>
      </c>
      <c r="M52" s="130">
        <f>L52/$L$57</f>
        <v>4.66402673221955E-4</v>
      </c>
      <c r="N52" s="242">
        <f>'[29]YTD''25 Vs YTD''24 &amp; Bud'!$L$9*3.6726*(('2025 IR Data Book'!$A$5))</f>
        <v>1770.0606331975359</v>
      </c>
      <c r="O52" s="130">
        <f>N52/$N$57</f>
        <v>1.4583188001488236E-3</v>
      </c>
      <c r="P52" s="132">
        <f t="shared" ref="P52:P55" si="17">L52-N52</f>
        <v>-1192.7489329073028</v>
      </c>
      <c r="Q52" s="131">
        <f>(L52/N52)-1</f>
        <v>-0.6738463703091655</v>
      </c>
      <c r="R52" s="143"/>
    </row>
    <row r="53" spans="2:18" x14ac:dyDescent="0.2">
      <c r="B53" s="20" t="s">
        <v>238</v>
      </c>
      <c r="C53" s="78">
        <f>'[29]Q4''25 Vs Q4''24 &amp; Bud'!$K$10*3.6726*(('2025 IR Data Book'!$A$5))</f>
        <v>97522.625928463211</v>
      </c>
      <c r="D53" s="130">
        <f t="shared" si="14"/>
        <v>0.28231526315055339</v>
      </c>
      <c r="E53" s="242">
        <f>('[29]Q4''25 Vs Q4''24 &amp; Bud'!$L$10*3.6726*(('2025 IR Data Book'!$A$5)))</f>
        <v>91802.86888978054</v>
      </c>
      <c r="F53" s="130">
        <f t="shared" si="15"/>
        <v>0.27406062779061635</v>
      </c>
      <c r="G53" s="73">
        <f t="shared" si="16"/>
        <v>5719.7570386826701</v>
      </c>
      <c r="H53" s="74">
        <f>(C53/E53)-1</f>
        <v>6.2304774435207211E-2</v>
      </c>
      <c r="I53" s="143"/>
      <c r="K53" s="20" t="s">
        <v>238</v>
      </c>
      <c r="L53" s="78">
        <f>'[29]YTD''25 Vs YTD''24 &amp; Bud'!$K$10*3.6726*(('2025 IR Data Book'!$A$5))</f>
        <v>364212.45582452993</v>
      </c>
      <c r="M53" s="130">
        <f>L53/$L$57</f>
        <v>0.29424254338149575</v>
      </c>
      <c r="N53" s="242">
        <f>('[29]YTD''25 Vs YTD''24 &amp; Bud'!$L$10*3.6726*(('2025 IR Data Book'!$A$5)))</f>
        <v>337968.9617419311</v>
      </c>
      <c r="O53" s="130">
        <f>N53/$N$57</f>
        <v>0.27844610604366427</v>
      </c>
      <c r="P53" s="73">
        <f t="shared" si="17"/>
        <v>26243.494082598831</v>
      </c>
      <c r="Q53" s="74">
        <f>(L53/N53)-1</f>
        <v>7.7650604207371021E-2</v>
      </c>
      <c r="R53" s="143"/>
    </row>
    <row r="54" spans="2:18" x14ac:dyDescent="0.2">
      <c r="B54" s="20" t="s">
        <v>239</v>
      </c>
      <c r="C54" s="78">
        <f>'[29]Q4''25 Vs Q4''24 &amp; Bud'!$K$11*3.6726*(('2025 IR Data Book'!$A$5))</f>
        <v>27230.266453819884</v>
      </c>
      <c r="D54" s="130">
        <f t="shared" si="14"/>
        <v>7.8828064424854127E-2</v>
      </c>
      <c r="E54" s="78">
        <f>'[29]Q4''25 Vs Q4''24 &amp; Bud'!$L$11*3.6726*(('2025 IR Data Book'!$A$5))</f>
        <v>18454.462618608122</v>
      </c>
      <c r="F54" s="130">
        <f t="shared" si="15"/>
        <v>5.5092413472028416E-2</v>
      </c>
      <c r="G54" s="132">
        <f t="shared" si="16"/>
        <v>8775.8038352117619</v>
      </c>
      <c r="H54" s="131">
        <f>(C54/E54)-1</f>
        <v>0.47553830293399524</v>
      </c>
      <c r="I54" s="143"/>
      <c r="K54" s="20" t="s">
        <v>239</v>
      </c>
      <c r="L54" s="78">
        <f>'[29]YTD''25 Vs YTD''24 &amp; Bud'!$K$11*3.6726*(('2025 IR Data Book'!$A$5))</f>
        <v>99868.58419009058</v>
      </c>
      <c r="M54" s="130">
        <f>L54/$L$57</f>
        <v>8.0682540495426266E-2</v>
      </c>
      <c r="N54" s="78">
        <f>'[29]YTD''25 Vs YTD''24 &amp; Bud'!$L$11*3.6726*(('2025 IR Data Book'!$A$5))</f>
        <v>76769.469365916069</v>
      </c>
      <c r="O54" s="130">
        <f>N54/$N$57</f>
        <v>6.3248884447265522E-2</v>
      </c>
      <c r="P54" s="132">
        <f t="shared" si="17"/>
        <v>23099.11482417451</v>
      </c>
      <c r="Q54" s="131">
        <f>(L54/N54)-1</f>
        <v>0.30088933810489515</v>
      </c>
      <c r="R54" s="143"/>
    </row>
    <row r="55" spans="2:18" x14ac:dyDescent="0.2">
      <c r="B55" s="20" t="s">
        <v>240</v>
      </c>
      <c r="C55" s="78">
        <f>'[29]Q4''25 Vs Q4''24 &amp; Bud'!$K$12*3.6726*(('2025 IR Data Book'!$A$5))</f>
        <v>912.71213936886045</v>
      </c>
      <c r="D55" s="130">
        <f t="shared" si="14"/>
        <v>2.6421824202686834E-3</v>
      </c>
      <c r="E55" s="78">
        <f>'[29]Q4''25 Vs Q4''24 &amp; Bud'!$L$12*3.6726*(('2025 IR Data Book'!$A$5))</f>
        <v>2365.0380854642272</v>
      </c>
      <c r="F55" s="130">
        <f t="shared" si="15"/>
        <v>7.0603874398439074E-3</v>
      </c>
      <c r="G55" s="132">
        <f t="shared" si="16"/>
        <v>-1452.3259460953668</v>
      </c>
      <c r="H55" s="131">
        <f>(C55/E55)-1</f>
        <v>-0.61408142009277344</v>
      </c>
      <c r="I55" s="143"/>
      <c r="K55" s="20" t="s">
        <v>240</v>
      </c>
      <c r="L55" s="78">
        <f>'[29]YTD''25 Vs YTD''24 &amp; Bud'!$K$12*3.6726*(('2025 IR Data Book'!$A$5))</f>
        <v>4503.078150710654</v>
      </c>
      <c r="M55" s="130">
        <f>L55/$L$57</f>
        <v>3.6379787317024148E-3</v>
      </c>
      <c r="N55" s="78">
        <f>'[29]YTD''25 Vs YTD''24 &amp; Bud'!$L$12*3.6726*(('2025 IR Data Book'!$A$5))</f>
        <v>6306.3921382953704</v>
      </c>
      <c r="O55" s="130">
        <f>N55/$N$57</f>
        <v>5.1957147929861556E-3</v>
      </c>
      <c r="P55" s="132">
        <f t="shared" si="17"/>
        <v>-1803.3139875847164</v>
      </c>
      <c r="Q55" s="131">
        <f>(L55/N55)-1</f>
        <v>-0.28595018324885768</v>
      </c>
      <c r="R55" s="143"/>
    </row>
    <row r="56" spans="2:18" x14ac:dyDescent="0.2">
      <c r="C56" s="78"/>
      <c r="D56" s="130"/>
      <c r="E56" s="78"/>
      <c r="F56" s="130"/>
      <c r="G56" s="132"/>
      <c r="H56" s="131"/>
      <c r="I56" s="143"/>
      <c r="L56" s="78"/>
      <c r="M56" s="130"/>
      <c r="N56" s="78"/>
      <c r="O56" s="130"/>
      <c r="P56" s="132"/>
      <c r="Q56" s="131"/>
      <c r="R56" s="143"/>
    </row>
    <row r="57" spans="2:18" x14ac:dyDescent="0.2">
      <c r="B57" s="63" t="s">
        <v>241</v>
      </c>
      <c r="C57" s="79">
        <f>SUM(C51:C55)</f>
        <v>345438.72987999319</v>
      </c>
      <c r="D57" s="161">
        <f>C57/$C$57</f>
        <v>1</v>
      </c>
      <c r="E57" s="79">
        <f>SUM(E51:E55)</f>
        <v>334972.84754057549</v>
      </c>
      <c r="F57" s="130">
        <f>E57/$E$57</f>
        <v>1</v>
      </c>
      <c r="G57" s="133">
        <f>C57-E57</f>
        <v>10465.882339417702</v>
      </c>
      <c r="H57" s="134">
        <f>(C57/E57)-1</f>
        <v>3.1243972209269666E-2</v>
      </c>
      <c r="I57" s="212"/>
      <c r="K57" s="63" t="s">
        <v>241</v>
      </c>
      <c r="L57" s="79">
        <f>SUM(L51:L55)</f>
        <v>1237796.7225232816</v>
      </c>
      <c r="M57" s="161">
        <f>L57/$L$57</f>
        <v>1</v>
      </c>
      <c r="N57" s="79">
        <f>SUM(N51:N55)</f>
        <v>1213767.9587048446</v>
      </c>
      <c r="O57" s="130">
        <f>N57/$N$57</f>
        <v>1</v>
      </c>
      <c r="P57" s="133">
        <f>L57-N57</f>
        <v>24028.763818437001</v>
      </c>
      <c r="Q57" s="134">
        <f>(L57/N57)-1</f>
        <v>1.9796834844838962E-2</v>
      </c>
      <c r="R57" s="212"/>
    </row>
    <row r="58" spans="2:18" x14ac:dyDescent="0.2">
      <c r="C58" s="78"/>
      <c r="D58" s="135"/>
      <c r="E58" s="78"/>
      <c r="F58" s="135"/>
      <c r="G58" s="163"/>
      <c r="H58" s="131"/>
      <c r="I58" s="212"/>
      <c r="L58" s="78"/>
      <c r="M58" s="135"/>
      <c r="N58" s="78"/>
      <c r="O58" s="135"/>
      <c r="P58" s="163"/>
      <c r="Q58" s="131"/>
      <c r="R58" s="212"/>
    </row>
    <row r="59" spans="2:18" x14ac:dyDescent="0.2">
      <c r="B59" s="63" t="s">
        <v>40</v>
      </c>
      <c r="C59" s="79">
        <f>'[29]Q4''25 Vs Q4''24 &amp; Bud'!$K$16*3.6726*(('2025 IR Data Book'!$A$5))</f>
        <v>58128.029538626666</v>
      </c>
      <c r="D59" s="130">
        <f>C59/$C$57</f>
        <v>0.16827305252894073</v>
      </c>
      <c r="E59" s="79">
        <f>'[29]Q4''25 Vs Q4''24 &amp; Bud'!$L$16*3.6726*(('2025 IR Data Book'!$A$5))</f>
        <v>60978.226275968489</v>
      </c>
      <c r="F59" s="130">
        <f>E59/$E$57</f>
        <v>0.18203931071930288</v>
      </c>
      <c r="G59" s="133">
        <f>C59-E59</f>
        <v>-2850.1967373418229</v>
      </c>
      <c r="H59" s="134">
        <f>(C59/E59)-1</f>
        <v>-4.6741220783345194E-2</v>
      </c>
      <c r="I59" s="143"/>
      <c r="K59" s="63" t="s">
        <v>40</v>
      </c>
      <c r="L59" s="79">
        <f>'[29]YTD''25 Vs YTD''24 &amp; Bud'!$K$16*3.6726*(('2025 IR Data Book'!$A$5))</f>
        <v>210598.50695723476</v>
      </c>
      <c r="M59" s="130">
        <f>L59/$L$57</f>
        <v>0.17013981627607164</v>
      </c>
      <c r="N59" s="79">
        <f>'[29]YTD''25 Vs YTD''24 &amp; Bud'!$L$16*3.6726*(('2025 IR Data Book'!$A$5))</f>
        <v>219425.53635438596</v>
      </c>
      <c r="O59" s="130">
        <f>N59/$N$57</f>
        <v>0.18078046531111661</v>
      </c>
      <c r="P59" s="133">
        <f>L59-N59</f>
        <v>-8827.0293971512001</v>
      </c>
      <c r="Q59" s="134">
        <f>(L59/N59)-1</f>
        <v>-4.022790393409359E-2</v>
      </c>
      <c r="R59" s="143"/>
    </row>
    <row r="60" spans="2:18" x14ac:dyDescent="0.2">
      <c r="I60" s="143"/>
      <c r="R60" s="143"/>
    </row>
    <row r="61" spans="2:18" x14ac:dyDescent="0.2">
      <c r="B61" s="63" t="s">
        <v>242</v>
      </c>
      <c r="C61" s="142" t="str">
        <f>$C$6</f>
        <v>Q4'25</v>
      </c>
      <c r="D61" s="127"/>
      <c r="E61" s="142" t="str">
        <f>$E$6</f>
        <v>Q4'24</v>
      </c>
      <c r="G61" s="162" t="s">
        <v>235</v>
      </c>
      <c r="H61" s="142" t="s">
        <v>36</v>
      </c>
      <c r="I61" s="143"/>
      <c r="K61" s="63" t="s">
        <v>242</v>
      </c>
      <c r="L61" s="142" t="str">
        <f>$L$6</f>
        <v>FY '25</v>
      </c>
      <c r="M61" s="127"/>
      <c r="N61" s="142" t="str">
        <f>$N$6</f>
        <v xml:space="preserve">FY '24 </v>
      </c>
      <c r="P61" s="162" t="s">
        <v>235</v>
      </c>
      <c r="Q61" s="142" t="s">
        <v>36</v>
      </c>
      <c r="R61" s="143"/>
    </row>
    <row r="62" spans="2:18" x14ac:dyDescent="0.2">
      <c r="B62" s="20" t="s">
        <v>237</v>
      </c>
      <c r="C62" s="75">
        <v>2372</v>
      </c>
      <c r="D62" s="75"/>
      <c r="E62" s="75">
        <v>20314</v>
      </c>
      <c r="F62" s="81"/>
      <c r="G62" s="132">
        <f t="shared" ref="G62:G64" si="18">C62-E62</f>
        <v>-17942</v>
      </c>
      <c r="H62" s="131">
        <f t="shared" ref="H62:H64" si="19">(C62/E62)-1</f>
        <v>-0.88323323816087429</v>
      </c>
      <c r="I62" s="144"/>
      <c r="K62" s="20" t="s">
        <v>237</v>
      </c>
      <c r="L62" s="75">
        <v>37137</v>
      </c>
      <c r="M62" s="75"/>
      <c r="N62" s="75">
        <v>63543</v>
      </c>
      <c r="O62" s="81"/>
      <c r="P62" s="132">
        <f t="shared" ref="P62:P64" si="20">L62-N62</f>
        <v>-26406</v>
      </c>
      <c r="Q62" s="131">
        <f t="shared" ref="Q62:Q64" si="21">(L62/N62)-1</f>
        <v>-0.4155611160946131</v>
      </c>
      <c r="R62" s="144"/>
    </row>
    <row r="63" spans="2:18" x14ac:dyDescent="0.2">
      <c r="B63" s="20" t="s">
        <v>236</v>
      </c>
      <c r="C63" s="242">
        <v>2878358</v>
      </c>
      <c r="D63" s="243"/>
      <c r="E63" s="242">
        <v>2932596</v>
      </c>
      <c r="F63" s="136"/>
      <c r="G63" s="132">
        <f t="shared" si="18"/>
        <v>-54238</v>
      </c>
      <c r="H63" s="131">
        <f t="shared" si="19"/>
        <v>-1.8494876212066025E-2</v>
      </c>
      <c r="I63" s="143"/>
      <c r="K63" s="20" t="s">
        <v>236</v>
      </c>
      <c r="L63" s="242">
        <v>9716014</v>
      </c>
      <c r="M63" s="243"/>
      <c r="N63" s="242">
        <v>9540351</v>
      </c>
      <c r="O63" s="136"/>
      <c r="P63" s="132">
        <f t="shared" si="20"/>
        <v>175663</v>
      </c>
      <c r="Q63" s="131">
        <f t="shared" si="21"/>
        <v>1.8412634922970961E-2</v>
      </c>
      <c r="R63" s="143"/>
    </row>
    <row r="64" spans="2:18" x14ac:dyDescent="0.2">
      <c r="B64" s="138"/>
      <c r="C64" s="35">
        <f>C63+C62</f>
        <v>2880730</v>
      </c>
      <c r="D64" s="35"/>
      <c r="E64" s="35">
        <f>E63+E62</f>
        <v>2952910</v>
      </c>
      <c r="F64" s="138"/>
      <c r="G64" s="236">
        <f t="shared" si="18"/>
        <v>-72180</v>
      </c>
      <c r="H64" s="237">
        <f t="shared" si="19"/>
        <v>-2.4443684365591856E-2</v>
      </c>
      <c r="I64" s="145"/>
      <c r="K64" s="138"/>
      <c r="L64" s="35">
        <f>L63+L62</f>
        <v>9753151</v>
      </c>
      <c r="M64" s="35"/>
      <c r="N64" s="35">
        <f>N63+N62</f>
        <v>9603894</v>
      </c>
      <c r="O64" s="138"/>
      <c r="P64" s="236">
        <f t="shared" si="20"/>
        <v>149257</v>
      </c>
      <c r="Q64" s="237">
        <f t="shared" si="21"/>
        <v>1.5541300226762145E-2</v>
      </c>
      <c r="R64" s="145"/>
    </row>
    <row r="65" spans="2:18" x14ac:dyDescent="0.2">
      <c r="I65" s="143"/>
      <c r="R65" s="143"/>
    </row>
    <row r="66" spans="2:18" x14ac:dyDescent="0.2">
      <c r="B66" s="258" t="s">
        <v>335</v>
      </c>
      <c r="I66" s="143"/>
      <c r="K66" s="258" t="s">
        <v>335</v>
      </c>
      <c r="R66" s="143"/>
    </row>
    <row r="67" spans="2:18" x14ac:dyDescent="0.2">
      <c r="B67" s="50" t="str">
        <f>$B$3</f>
        <v>Q4'25 vs Q4'24</v>
      </c>
      <c r="I67" s="143"/>
      <c r="K67" s="50" t="str">
        <f>$K$3</f>
        <v>FY '25  vs FY '24</v>
      </c>
      <c r="R67" s="143"/>
    </row>
    <row r="68" spans="2:18" x14ac:dyDescent="0.2">
      <c r="B68" s="45" t="s">
        <v>233</v>
      </c>
      <c r="I68" s="143"/>
      <c r="K68" s="45" t="s">
        <v>233</v>
      </c>
      <c r="R68" s="143"/>
    </row>
    <row r="69" spans="2:18" x14ac:dyDescent="0.2">
      <c r="C69" s="142" t="s">
        <v>234</v>
      </c>
      <c r="D69" s="127"/>
      <c r="E69" s="142" t="s">
        <v>234</v>
      </c>
      <c r="I69" s="143"/>
      <c r="L69" s="142" t="s">
        <v>234</v>
      </c>
      <c r="M69" s="127"/>
      <c r="N69" s="142" t="s">
        <v>234</v>
      </c>
      <c r="R69" s="143"/>
    </row>
    <row r="70" spans="2:18" x14ac:dyDescent="0.2">
      <c r="B70" s="128"/>
      <c r="C70" s="142" t="str">
        <f>$C$6</f>
        <v>Q4'25</v>
      </c>
      <c r="D70" s="127"/>
      <c r="E70" s="142" t="str">
        <f>$E$6</f>
        <v>Q4'24</v>
      </c>
      <c r="G70" s="162" t="s">
        <v>235</v>
      </c>
      <c r="H70" s="142" t="s">
        <v>36</v>
      </c>
      <c r="I70" s="143"/>
      <c r="K70" s="128"/>
      <c r="L70" s="142" t="str">
        <f>$L$6</f>
        <v>FY '25</v>
      </c>
      <c r="M70" s="127"/>
      <c r="N70" s="142" t="str">
        <f>$N$6</f>
        <v xml:space="preserve">FY '24 </v>
      </c>
      <c r="P70" s="162" t="s">
        <v>235</v>
      </c>
      <c r="Q70" s="142" t="s">
        <v>36</v>
      </c>
      <c r="R70" s="143"/>
    </row>
    <row r="71" spans="2:18" x14ac:dyDescent="0.2">
      <c r="H71" s="129"/>
      <c r="I71" s="143"/>
      <c r="Q71" s="129"/>
      <c r="R71" s="143"/>
    </row>
    <row r="72" spans="2:18" x14ac:dyDescent="0.2">
      <c r="B72" s="20" t="s">
        <v>236</v>
      </c>
      <c r="C72" s="78">
        <f>'[29]Q4''25 Vs Q4''24 &amp; Bud'!$P$8*3.6726*(('2025 IR Data Book'!$A$5))</f>
        <v>63817.730354632658</v>
      </c>
      <c r="D72" s="130">
        <f>C72/$C$78</f>
        <v>0.1963733657683786</v>
      </c>
      <c r="E72" s="78">
        <f>'[29]Q4''25 Vs Q4''24 &amp; Bud'!$Q$8*3.6726*(('2025 IR Data Book'!$A$5))</f>
        <v>69533.976149388865</v>
      </c>
      <c r="F72" s="130">
        <f>E72/$E$78</f>
        <v>0.21091191396801456</v>
      </c>
      <c r="G72" s="132">
        <f>C72-E72</f>
        <v>-5716.245794756207</v>
      </c>
      <c r="H72" s="131">
        <f>(C72/E72)-1</f>
        <v>-8.2207952303421483E-2</v>
      </c>
      <c r="I72" s="143"/>
      <c r="K72" s="20" t="s">
        <v>236</v>
      </c>
      <c r="L72" s="78">
        <f>'[29]YTD''25 Vs YTD''24 &amp; Bud'!$P$8*3.6726*(('2025 IR Data Book'!$A$5))</f>
        <v>223071.6330767957</v>
      </c>
      <c r="M72" s="130">
        <f>L72/$L$78</f>
        <v>0.20066707862811672</v>
      </c>
      <c r="N72" s="78">
        <f>'[29]YTD''25 Vs YTD''24 &amp; Bud'!$Q$8*3.6726*(('2025 IR Data Book'!$A$5))</f>
        <v>269586.3555811104</v>
      </c>
      <c r="O72" s="130">
        <f>N72/$N$78</f>
        <v>0.24084832463601236</v>
      </c>
      <c r="P72" s="132">
        <f>L72-N72</f>
        <v>-46514.722504314705</v>
      </c>
      <c r="Q72" s="131">
        <f>(L72/N72)-1</f>
        <v>-0.17254108578325222</v>
      </c>
      <c r="R72" s="143"/>
    </row>
    <row r="73" spans="2:18" x14ac:dyDescent="0.2">
      <c r="B73" s="20" t="s">
        <v>237</v>
      </c>
      <c r="C73" s="78">
        <f>'[29]Q4''25 Vs Q4''24 &amp; Bud'!$P$9*3.6726*(('2025 IR Data Book'!$A$5))</f>
        <v>240747.63686437087</v>
      </c>
      <c r="D73" s="130">
        <f t="shared" ref="D73:D76" si="22">C73/$C$78</f>
        <v>0.74080390338432012</v>
      </c>
      <c r="E73" s="78">
        <f>'[29]Q4''25 Vs Q4''24 &amp; Bud'!$Q$9*3.6726*(('2025 IR Data Book'!$A$5))</f>
        <v>227950.99557457195</v>
      </c>
      <c r="F73" s="130">
        <f t="shared" ref="F73:F76" si="23">E73/$E$78</f>
        <v>0.69142573789043904</v>
      </c>
      <c r="G73" s="132">
        <f t="shared" ref="G73:G76" si="24">C73-E73</f>
        <v>12796.641289798921</v>
      </c>
      <c r="H73" s="131">
        <f>(C73/E73)-1</f>
        <v>5.6137685459735742E-2</v>
      </c>
      <c r="I73" s="143"/>
      <c r="K73" s="20" t="s">
        <v>237</v>
      </c>
      <c r="L73" s="78">
        <f>'[29]YTD''25 Vs YTD''24 &amp; Bud'!$P$9*3.6726*(('2025 IR Data Book'!$A$5))</f>
        <v>791946.55178369558</v>
      </c>
      <c r="M73" s="130">
        <f>L73/$L$78</f>
        <v>0.71240613960689048</v>
      </c>
      <c r="N73" s="78">
        <f>'[29]YTD''25 Vs YTD''24 &amp; Bud'!$Q$9*3.6726*(('2025 IR Data Book'!$A$5))</f>
        <v>746805.29888014251</v>
      </c>
      <c r="O73" s="130">
        <f>N73/$N$78</f>
        <v>0.66719550652652482</v>
      </c>
      <c r="P73" s="132">
        <f t="shared" ref="P73:P76" si="25">L73-N73</f>
        <v>45141.252903553075</v>
      </c>
      <c r="Q73" s="131">
        <f>(L73/N73)-1</f>
        <v>6.0445812276966659E-2</v>
      </c>
      <c r="R73" s="143"/>
    </row>
    <row r="74" spans="2:18" x14ac:dyDescent="0.2">
      <c r="B74" s="20" t="s">
        <v>238</v>
      </c>
      <c r="C74" s="78">
        <f>'[29]Q4''25 Vs Q4''24 &amp; Bud'!$P$10*3.6726*(('2025 IR Data Book'!$A$5))</f>
        <v>16198.928765217815</v>
      </c>
      <c r="D74" s="130">
        <f t="shared" si="22"/>
        <v>4.9845679966854378E-2</v>
      </c>
      <c r="E74" s="78">
        <f>'[29]Q4''25 Vs Q4''24 &amp; Bud'!$Q$10*3.6726*(('2025 IR Data Book'!$A$5))</f>
        <v>26041.971789744162</v>
      </c>
      <c r="F74" s="130">
        <f t="shared" si="23"/>
        <v>7.8991054702173213E-2</v>
      </c>
      <c r="G74" s="73">
        <f t="shared" si="24"/>
        <v>-9843.0430245263469</v>
      </c>
      <c r="H74" s="74">
        <f>(C74/E74)-1</f>
        <v>-0.37796842358928939</v>
      </c>
      <c r="I74" s="143"/>
      <c r="K74" s="20" t="s">
        <v>238</v>
      </c>
      <c r="L74" s="78">
        <f>'[29]YTD''25 Vs YTD''24 &amp; Bud'!$P$10*3.6726*(('2025 IR Data Book'!$A$5))</f>
        <v>78618.880021958423</v>
      </c>
      <c r="M74" s="130">
        <f>L74/$L$78</f>
        <v>7.0722667698360414E-2</v>
      </c>
      <c r="N74" s="78">
        <f>'[29]YTD''25 Vs YTD''24 &amp; Bud'!$Q$10*3.6726*(('2025 IR Data Book'!$A$5))</f>
        <v>81483.011368470776</v>
      </c>
      <c r="O74" s="130">
        <f>N74/$N$78</f>
        <v>7.2796884442056828E-2</v>
      </c>
      <c r="P74" s="73">
        <f t="shared" si="25"/>
        <v>-2864.131346512353</v>
      </c>
      <c r="Q74" s="74">
        <f>(L74/N74)-1</f>
        <v>-3.5150042915824353E-2</v>
      </c>
      <c r="R74" s="143"/>
    </row>
    <row r="75" spans="2:18" x14ac:dyDescent="0.2">
      <c r="B75" s="20" t="s">
        <v>239</v>
      </c>
      <c r="C75" s="78">
        <f>'[29]Q4''25 Vs Q4''24 &amp; Bud'!$P$11*3.6726*(('2025 IR Data Book'!$A$5))</f>
        <v>4013.5609783232567</v>
      </c>
      <c r="D75" s="130">
        <f t="shared" si="22"/>
        <v>1.2350117649910288E-2</v>
      </c>
      <c r="E75" s="78">
        <f>'[29]Q4''25 Vs Q4''24 &amp; Bud'!$Q$11*3.6726*(('2025 IR Data Book'!$A$5))</f>
        <v>5989.4591406004047</v>
      </c>
      <c r="F75" s="130">
        <f t="shared" si="23"/>
        <v>1.8167353011184786E-2</v>
      </c>
      <c r="G75" s="132">
        <f t="shared" si="24"/>
        <v>-1975.898162277148</v>
      </c>
      <c r="H75" s="131">
        <f>(C75/E75)-1</f>
        <v>-0.32989592480617158</v>
      </c>
      <c r="I75" s="143"/>
      <c r="K75" s="20" t="s">
        <v>239</v>
      </c>
      <c r="L75" s="78">
        <f>'[29]YTD''25 Vs YTD''24 &amp; Bud'!$P$11*3.6726*(('2025 IR Data Book'!$A$5))</f>
        <v>17471.636895439307</v>
      </c>
      <c r="M75" s="130">
        <f>L75/$L$78</f>
        <v>1.5716845240703638E-2</v>
      </c>
      <c r="N75" s="78">
        <f>'[29]YTD''25 Vs YTD''24 &amp; Bud'!$Q$11*3.6726*(('2025 IR Data Book'!$A$5))</f>
        <v>20237.283336335186</v>
      </c>
      <c r="O75" s="130">
        <f>N75/$N$78</f>
        <v>1.8079979516152277E-2</v>
      </c>
      <c r="P75" s="132">
        <f t="shared" si="25"/>
        <v>-2765.6464408958782</v>
      </c>
      <c r="Q75" s="131">
        <f>(L75/N75)-1</f>
        <v>-0.13666095369284459</v>
      </c>
      <c r="R75" s="143"/>
    </row>
    <row r="76" spans="2:18" x14ac:dyDescent="0.2">
      <c r="B76" s="20" t="s">
        <v>240</v>
      </c>
      <c r="C76" s="78">
        <f>'[29]Q4''25 Vs Q4''24 &amp; Bud'!$P$12*3.6726*(('2025 IR Data Book'!$A$5))</f>
        <v>203.74176355426343</v>
      </c>
      <c r="D76" s="130">
        <f t="shared" si="22"/>
        <v>6.2693323053648073E-4</v>
      </c>
      <c r="E76" s="78">
        <f>'[29]Q4''25 Vs Q4''24 &amp; Bud'!$Q$12*3.6726*(('2025 IR Data Book'!$A$5))</f>
        <v>166.14036189382546</v>
      </c>
      <c r="F76" s="130">
        <f t="shared" si="23"/>
        <v>5.0394042818840436E-4</v>
      </c>
      <c r="G76" s="132">
        <f t="shared" si="24"/>
        <v>37.601401660437972</v>
      </c>
      <c r="H76" s="131">
        <f>(C76/E76)-1</f>
        <v>0.22632309952754115</v>
      </c>
      <c r="I76" s="143"/>
      <c r="K76" s="20" t="s">
        <v>240</v>
      </c>
      <c r="L76" s="78">
        <f>'[29]YTD''25 Vs YTD''24 &amp; Bud'!$P$12*3.6726*(('2025 IR Data Book'!$A$5))</f>
        <v>541.67257275300381</v>
      </c>
      <c r="M76" s="130">
        <f>L76/$L$78</f>
        <v>4.8726882592866998E-4</v>
      </c>
      <c r="N76" s="78">
        <f>'[29]YTD''25 Vs YTD''24 &amp; Bud'!$Q$12*3.6726*(('2025 IR Data Book'!$A$5))</f>
        <v>1208.0875771034803</v>
      </c>
      <c r="O76" s="130">
        <f>N76/$N$78</f>
        <v>1.079304879253838E-3</v>
      </c>
      <c r="P76" s="132">
        <f t="shared" si="25"/>
        <v>-666.41500435047647</v>
      </c>
      <c r="Q76" s="131">
        <f>(L76/N76)-1</f>
        <v>-0.55162805824746419</v>
      </c>
      <c r="R76" s="143"/>
    </row>
    <row r="77" spans="2:18" x14ac:dyDescent="0.2">
      <c r="C77" s="78"/>
      <c r="D77" s="130"/>
      <c r="E77" s="78"/>
      <c r="F77" s="130"/>
      <c r="G77" s="132"/>
      <c r="H77" s="131"/>
      <c r="I77" s="143"/>
      <c r="L77" s="78"/>
      <c r="M77" s="130"/>
      <c r="N77" s="78"/>
      <c r="O77" s="130"/>
      <c r="P77" s="132"/>
      <c r="Q77" s="131"/>
      <c r="R77" s="143"/>
    </row>
    <row r="78" spans="2:18" x14ac:dyDescent="0.2">
      <c r="B78" s="63" t="s">
        <v>241</v>
      </c>
      <c r="C78" s="79">
        <f>SUM(C72:C76)</f>
        <v>324981.59872609889</v>
      </c>
      <c r="D78" s="130">
        <f>C78/$C$78</f>
        <v>1</v>
      </c>
      <c r="E78" s="79">
        <f>SUM(E72:E76)</f>
        <v>329682.5430161992</v>
      </c>
      <c r="F78" s="130">
        <f>E78/$E$78</f>
        <v>1</v>
      </c>
      <c r="G78" s="133">
        <f>C78-E78</f>
        <v>-4700.9442901003058</v>
      </c>
      <c r="H78" s="134">
        <f>(C78/E78)-1</f>
        <v>-1.4259002757902484E-2</v>
      </c>
      <c r="I78" s="212"/>
      <c r="K78" s="63" t="s">
        <v>241</v>
      </c>
      <c r="L78" s="79">
        <f>SUM(L72:L76)</f>
        <v>1111650.3743506421</v>
      </c>
      <c r="M78" s="130">
        <f>L78/$L$78</f>
        <v>1</v>
      </c>
      <c r="N78" s="79">
        <f>SUM(N72:N76)</f>
        <v>1119320.0367431622</v>
      </c>
      <c r="O78" s="130">
        <f>N78/$N$78</f>
        <v>1</v>
      </c>
      <c r="P78" s="133">
        <f>L78-N78</f>
        <v>-7669.6623925201129</v>
      </c>
      <c r="Q78" s="134">
        <f>(L78/N78)-1</f>
        <v>-6.8520728127374753E-3</v>
      </c>
      <c r="R78" s="212"/>
    </row>
    <row r="79" spans="2:18" x14ac:dyDescent="0.2">
      <c r="C79" s="78"/>
      <c r="D79" s="135"/>
      <c r="E79" s="78"/>
      <c r="F79" s="135"/>
      <c r="G79" s="163"/>
      <c r="H79" s="131"/>
      <c r="I79" s="212"/>
      <c r="L79" s="78"/>
      <c r="M79" s="135"/>
      <c r="N79" s="78"/>
      <c r="O79" s="135"/>
      <c r="P79" s="163"/>
      <c r="Q79" s="131"/>
      <c r="R79" s="212"/>
    </row>
    <row r="80" spans="2:18" x14ac:dyDescent="0.2">
      <c r="B80" s="63" t="s">
        <v>40</v>
      </c>
      <c r="C80" s="79">
        <f>'[29]Q4''25 Vs Q4''24 &amp; Bud'!$P$16*3.6726*(('2025 IR Data Book'!$A$5))</f>
        <v>60701.491159321289</v>
      </c>
      <c r="D80" s="130">
        <f>C80/$C$78</f>
        <v>0.18678439455423365</v>
      </c>
      <c r="E80" s="79">
        <f>'[29]Q4''25 Vs Q4''24 &amp; Bud'!$Q$16*3.6726*(('2025 IR Data Book'!$A$5))</f>
        <v>52321.437412124156</v>
      </c>
      <c r="F80" s="130">
        <f>E80/$E$78</f>
        <v>0.15870248067563986</v>
      </c>
      <c r="G80" s="133">
        <f>C80-E80</f>
        <v>8380.0537471971329</v>
      </c>
      <c r="H80" s="134">
        <f>(C80/E80)-1</f>
        <v>0.16016482271290333</v>
      </c>
      <c r="I80" s="143"/>
      <c r="K80" s="63" t="s">
        <v>40</v>
      </c>
      <c r="L80" s="79">
        <f>'[29]YTD''25 Vs YTD''24 &amp; Bud'!$P$16*3.6726*(('2025 IR Data Book'!$A$5))</f>
        <v>173215.39093138106</v>
      </c>
      <c r="M80" s="130">
        <f>L80/$L$78</f>
        <v>0.15581822750031712</v>
      </c>
      <c r="N80" s="79">
        <f>'[29]YTD''25 Vs YTD''24 &amp; Bud'!$Q$16*3.6726*(('2025 IR Data Book'!$A$5))</f>
        <v>184963.37899754988</v>
      </c>
      <c r="O80" s="130">
        <f>N80/$N$78</f>
        <v>0.16524619673183905</v>
      </c>
      <c r="P80" s="133">
        <f>L80-N80</f>
        <v>-11747.988066168822</v>
      </c>
      <c r="Q80" s="134">
        <f>(L80/N80)-1</f>
        <v>-6.351521111822056E-2</v>
      </c>
      <c r="R80" s="143"/>
    </row>
    <row r="81" spans="2:18" x14ac:dyDescent="0.2">
      <c r="I81" s="143"/>
      <c r="R81" s="143"/>
    </row>
    <row r="82" spans="2:18" x14ac:dyDescent="0.2">
      <c r="B82" s="63" t="s">
        <v>242</v>
      </c>
      <c r="C82" s="142" t="str">
        <f>$C$6</f>
        <v>Q4'25</v>
      </c>
      <c r="D82" s="127"/>
      <c r="E82" s="142" t="str">
        <f>$E$6</f>
        <v>Q4'24</v>
      </c>
      <c r="G82" s="162" t="s">
        <v>235</v>
      </c>
      <c r="H82" s="142" t="s">
        <v>36</v>
      </c>
      <c r="I82" s="143"/>
      <c r="K82" s="63" t="s">
        <v>242</v>
      </c>
      <c r="L82" s="142" t="str">
        <f>$L$6</f>
        <v>FY '25</v>
      </c>
      <c r="M82" s="127"/>
      <c r="N82" s="142" t="str">
        <f>$N$6</f>
        <v xml:space="preserve">FY '24 </v>
      </c>
      <c r="P82" s="162" t="s">
        <v>235</v>
      </c>
      <c r="Q82" s="142" t="s">
        <v>36</v>
      </c>
      <c r="R82" s="143"/>
    </row>
    <row r="83" spans="2:18" x14ac:dyDescent="0.2">
      <c r="B83" s="20" t="s">
        <v>237</v>
      </c>
      <c r="C83" s="75">
        <v>14968779</v>
      </c>
      <c r="D83" s="75"/>
      <c r="E83" s="75">
        <v>14422663</v>
      </c>
      <c r="F83" s="81"/>
      <c r="G83" s="132">
        <f t="shared" ref="G83:G85" si="26">C83-E83</f>
        <v>546116</v>
      </c>
      <c r="H83" s="131">
        <f t="shared" ref="H83:H85" si="27">(C83/E83)-1</f>
        <v>3.786512934539199E-2</v>
      </c>
      <c r="I83" s="144"/>
      <c r="K83" s="20" t="s">
        <v>237</v>
      </c>
      <c r="L83" s="75">
        <v>50747944</v>
      </c>
      <c r="M83" s="75"/>
      <c r="N83" s="75">
        <v>50660570</v>
      </c>
      <c r="O83" s="81"/>
      <c r="P83" s="132">
        <f t="shared" ref="P83" si="28">L83-N83</f>
        <v>87374</v>
      </c>
      <c r="Q83" s="131">
        <f t="shared" ref="Q83:Q85" si="29">(L83/N83)-1</f>
        <v>1.7246943727635689E-3</v>
      </c>
      <c r="R83" s="144"/>
    </row>
    <row r="84" spans="2:18" x14ac:dyDescent="0.2">
      <c r="B84" s="20" t="s">
        <v>236</v>
      </c>
      <c r="C84" s="242">
        <v>501366</v>
      </c>
      <c r="D84" s="243"/>
      <c r="E84" s="242">
        <v>478178</v>
      </c>
      <c r="F84" s="136"/>
      <c r="G84" s="132">
        <f>C84-E84</f>
        <v>23188</v>
      </c>
      <c r="H84" s="131">
        <f t="shared" si="27"/>
        <v>4.8492402410817759E-2</v>
      </c>
      <c r="I84" s="143"/>
      <c r="K84" s="20" t="s">
        <v>236</v>
      </c>
      <c r="L84" s="242">
        <v>1733705</v>
      </c>
      <c r="M84" s="243"/>
      <c r="N84" s="242">
        <v>1959633</v>
      </c>
      <c r="O84" s="136"/>
      <c r="P84" s="132">
        <f>L84-N84</f>
        <v>-225928</v>
      </c>
      <c r="Q84" s="131">
        <f t="shared" si="29"/>
        <v>-0.11529097540202682</v>
      </c>
      <c r="R84" s="143"/>
    </row>
    <row r="85" spans="2:18" x14ac:dyDescent="0.2">
      <c r="B85" s="138"/>
      <c r="C85" s="35">
        <f>C84+C83</f>
        <v>15470145</v>
      </c>
      <c r="D85" s="35"/>
      <c r="E85" s="35">
        <f>E84+E83</f>
        <v>14900841</v>
      </c>
      <c r="F85" s="138"/>
      <c r="G85" s="236">
        <f t="shared" si="26"/>
        <v>569304</v>
      </c>
      <c r="H85" s="237">
        <f t="shared" si="27"/>
        <v>3.8206165678836612E-2</v>
      </c>
      <c r="I85" s="145"/>
      <c r="K85" s="138"/>
      <c r="L85" s="35">
        <f>L84+L83</f>
        <v>52481649</v>
      </c>
      <c r="M85" s="35"/>
      <c r="N85" s="35">
        <f>N84+N83</f>
        <v>52620203</v>
      </c>
      <c r="O85" s="138"/>
      <c r="P85" s="236">
        <f t="shared" ref="P85" si="30">L85-N85</f>
        <v>-138554</v>
      </c>
      <c r="Q85" s="237">
        <f t="shared" si="29"/>
        <v>-2.6330951250795875E-3</v>
      </c>
      <c r="R85" s="145"/>
    </row>
    <row r="86" spans="2:18" x14ac:dyDescent="0.2">
      <c r="I86" s="143"/>
      <c r="N86" s="28"/>
      <c r="R86" s="143"/>
    </row>
    <row r="87" spans="2:18" x14ac:dyDescent="0.2">
      <c r="B87" s="63" t="s">
        <v>245</v>
      </c>
      <c r="I87" s="143"/>
      <c r="K87" s="63" t="s">
        <v>245</v>
      </c>
      <c r="R87" s="143"/>
    </row>
    <row r="88" spans="2:18" x14ac:dyDescent="0.2">
      <c r="B88" s="50" t="str">
        <f>$B$3</f>
        <v>Q4'25 vs Q4'24</v>
      </c>
      <c r="I88" s="143"/>
      <c r="K88" s="50" t="str">
        <f>$K$3</f>
        <v>FY '25  vs FY '24</v>
      </c>
      <c r="R88" s="143"/>
    </row>
    <row r="89" spans="2:18" x14ac:dyDescent="0.2">
      <c r="B89" s="45" t="s">
        <v>233</v>
      </c>
      <c r="I89" s="143"/>
      <c r="K89" s="45" t="s">
        <v>233</v>
      </c>
      <c r="R89" s="143"/>
    </row>
    <row r="90" spans="2:18" x14ac:dyDescent="0.2">
      <c r="C90" s="142" t="s">
        <v>234</v>
      </c>
      <c r="D90" s="127"/>
      <c r="E90" s="142" t="s">
        <v>234</v>
      </c>
      <c r="I90" s="143"/>
      <c r="L90" s="142" t="s">
        <v>234</v>
      </c>
      <c r="M90" s="127"/>
      <c r="N90" s="142" t="s">
        <v>234</v>
      </c>
      <c r="R90" s="143"/>
    </row>
    <row r="91" spans="2:18" x14ac:dyDescent="0.2">
      <c r="B91" s="128"/>
      <c r="C91" s="142" t="str">
        <f>$C$6</f>
        <v>Q4'25</v>
      </c>
      <c r="D91" s="127"/>
      <c r="E91" s="142" t="str">
        <f>$E$6</f>
        <v>Q4'24</v>
      </c>
      <c r="G91" s="162" t="s">
        <v>235</v>
      </c>
      <c r="H91" s="142" t="s">
        <v>36</v>
      </c>
      <c r="I91" s="143"/>
      <c r="K91" s="128"/>
      <c r="L91" s="142" t="str">
        <f>$L$6</f>
        <v>FY '25</v>
      </c>
      <c r="M91" s="127"/>
      <c r="N91" s="142" t="str">
        <f>$N$6</f>
        <v xml:space="preserve">FY '24 </v>
      </c>
      <c r="P91" s="162" t="s">
        <v>235</v>
      </c>
      <c r="Q91" s="142" t="s">
        <v>36</v>
      </c>
      <c r="R91" s="143"/>
    </row>
    <row r="92" spans="2:18" x14ac:dyDescent="0.2">
      <c r="H92" s="129"/>
      <c r="I92" s="143"/>
      <c r="Q92" s="129"/>
      <c r="R92" s="143"/>
    </row>
    <row r="93" spans="2:18" x14ac:dyDescent="0.2">
      <c r="B93" s="20" t="s">
        <v>236</v>
      </c>
      <c r="C93" s="78">
        <f>'[29]Q4''25 Vs Q4''24 &amp; Bud'!$T$8*3.6726*(('2025 IR Data Book'!$A$5))</f>
        <v>5611.2744595200002</v>
      </c>
      <c r="D93" s="130">
        <f>C93/$C$99</f>
        <v>0.95167163689954237</v>
      </c>
      <c r="E93" s="78">
        <f>'[29]Q4''25 Vs Q4''24 &amp; Bud'!$U$8*3.6726*(('2025 IR Data Book'!$A$5))</f>
        <v>5443.0574068440001</v>
      </c>
      <c r="F93" s="130">
        <f>E93/$E$99</f>
        <v>0.95792815084844363</v>
      </c>
      <c r="G93" s="132">
        <f>C93-E93</f>
        <v>168.21705267600009</v>
      </c>
      <c r="H93" s="131">
        <f>(C93/E93)-1</f>
        <v>3.0904883065258071E-2</v>
      </c>
      <c r="I93" s="143"/>
      <c r="K93" s="20" t="s">
        <v>236</v>
      </c>
      <c r="L93" s="78">
        <f>'[29]YTD''25 Vs YTD''24 &amp; Bud'!$T$8*3.6726*(('2025 IR Data Book'!$A$5))</f>
        <v>22465.566853823999</v>
      </c>
      <c r="M93" s="130">
        <f>L93/$L$99</f>
        <v>0.91883422630283684</v>
      </c>
      <c r="N93" s="78">
        <f>'[29]YTD''25 Vs YTD''24 &amp; Bud'!$U$8*3.6726*(('2025 IR Data Book'!$A$5))</f>
        <v>16528.091180879994</v>
      </c>
      <c r="O93" s="130">
        <f>N93/$N$99</f>
        <v>0.86501667399379822</v>
      </c>
      <c r="P93" s="132">
        <f>L93-N93</f>
        <v>5937.4756729440051</v>
      </c>
      <c r="Q93" s="131">
        <f>(L93/N93)-1</f>
        <v>0.35923541369450995</v>
      </c>
      <c r="R93" s="143"/>
    </row>
    <row r="94" spans="2:18" x14ac:dyDescent="0.2">
      <c r="B94" s="20" t="s">
        <v>237</v>
      </c>
      <c r="C94" s="78">
        <f>'[29]Q4''25 Vs Q4''24 &amp; Bud'!$T$9*3.6726*(('2025 IR Data Book'!$A$5))</f>
        <v>-94.672282799999991</v>
      </c>
      <c r="D94" s="130">
        <f t="shared" ref="D94:D97" si="31">C94/$C$99</f>
        <v>-1.6056410534051734E-2</v>
      </c>
      <c r="E94" s="78">
        <f>'[29]Q4''25 Vs Q4''24 &amp; Bud'!$U$9*3.6726*(('2025 IR Data Book'!$A$5))</f>
        <v>-193.78841159999999</v>
      </c>
      <c r="F94" s="130">
        <f t="shared" ref="F94:F97" si="32">E94/$E$99</f>
        <v>-3.4104981980610856E-2</v>
      </c>
      <c r="G94" s="132">
        <f t="shared" ref="G94:G97" si="33">C94-E94</f>
        <v>99.116128799999998</v>
      </c>
      <c r="H94" s="131">
        <f>-((C94/E94)-1)</f>
        <v>0.51146571655990603</v>
      </c>
      <c r="I94" s="143"/>
      <c r="K94" s="20" t="s">
        <v>237</v>
      </c>
      <c r="L94" s="78">
        <f>'[29]YTD''25 Vs YTD''24 &amp; Bud'!$T$9*3.6726*(('2025 IR Data Book'!$A$5))</f>
        <v>184.95580859999998</v>
      </c>
      <c r="M94" s="130">
        <f>L94/$L$99</f>
        <v>7.5646311709365753E-3</v>
      </c>
      <c r="N94" s="78">
        <f>'[29]YTD''25 Vs YTD''24 &amp; Bud'!$U$9*3.6726*(('2025 IR Data Book'!$A$5))</f>
        <v>697.0190814</v>
      </c>
      <c r="O94" s="130">
        <f>N94/$N$99</f>
        <v>3.6479295818522883E-2</v>
      </c>
      <c r="P94" s="132">
        <f t="shared" ref="P94:P97" si="34">L94-N94</f>
        <v>-512.06327280000005</v>
      </c>
      <c r="Q94" s="131">
        <f>(L94/N94)-1</f>
        <v>-0.73464742424481932</v>
      </c>
      <c r="R94" s="143"/>
    </row>
    <row r="95" spans="2:18" x14ac:dyDescent="0.2">
      <c r="B95" s="20" t="s">
        <v>238</v>
      </c>
      <c r="C95" s="78">
        <f>'[29]Q4''25 Vs Q4''24 &amp; Bud'!$T$10*3.6726*(('2025 IR Data Book'!$A$5))</f>
        <v>0</v>
      </c>
      <c r="D95" s="130">
        <f t="shared" si="31"/>
        <v>0</v>
      </c>
      <c r="E95" s="78">
        <f>'[29]Q4''25 Vs Q4''24 &amp; Bud'!$U$10*3.6726*(('2025 IR Data Book'!$A$5))</f>
        <v>0</v>
      </c>
      <c r="F95" s="130">
        <f t="shared" si="32"/>
        <v>0</v>
      </c>
      <c r="G95" s="73">
        <f t="shared" si="33"/>
        <v>0</v>
      </c>
      <c r="H95" s="131" t="s">
        <v>244</v>
      </c>
      <c r="I95" s="143"/>
      <c r="K95" s="20" t="s">
        <v>238</v>
      </c>
      <c r="L95" s="78">
        <f>'[29]YTD''25 Vs YTD''24 &amp; Bud'!$T$10*3.6726*(('2025 IR Data Book'!$A$5))</f>
        <v>0</v>
      </c>
      <c r="M95" s="130">
        <f>L95/$L$99</f>
        <v>0</v>
      </c>
      <c r="N95" s="78">
        <f>'[29]YTD''25 Vs YTD''24 &amp; Bud'!$U$10*3.6726*(('2025 IR Data Book'!$A$5))</f>
        <v>0</v>
      </c>
      <c r="O95" s="130">
        <f>N95/$N$99</f>
        <v>0</v>
      </c>
      <c r="P95" s="73">
        <f t="shared" si="34"/>
        <v>0</v>
      </c>
      <c r="Q95" s="131" t="s">
        <v>244</v>
      </c>
      <c r="R95" s="143"/>
    </row>
    <row r="96" spans="2:18" x14ac:dyDescent="0.2">
      <c r="B96" s="20" t="s">
        <v>239</v>
      </c>
      <c r="C96" s="78">
        <f>'[29]Q4''25 Vs Q4''24 &amp; Bud'!$T$11*3.6726*(('2025 IR Data Book'!$A$5))</f>
        <v>0</v>
      </c>
      <c r="D96" s="130">
        <f t="shared" si="31"/>
        <v>0</v>
      </c>
      <c r="E96" s="78">
        <f>'[29]Q4''25 Vs Q4''24 &amp; Bud'!$U$11*3.6726*(('2025 IR Data Book'!$A$5))</f>
        <v>0</v>
      </c>
      <c r="F96" s="130">
        <f t="shared" si="32"/>
        <v>0</v>
      </c>
      <c r="G96" s="132">
        <f t="shared" si="33"/>
        <v>0</v>
      </c>
      <c r="H96" s="131" t="s">
        <v>244</v>
      </c>
      <c r="I96" s="143"/>
      <c r="K96" s="20" t="s">
        <v>239</v>
      </c>
      <c r="L96" s="78">
        <f>'[29]YTD''25 Vs YTD''24 &amp; Bud'!$T$11*3.6726*(('2025 IR Data Book'!$A$5))</f>
        <v>0</v>
      </c>
      <c r="M96" s="130">
        <f>L96/$L$99</f>
        <v>0</v>
      </c>
      <c r="N96" s="78">
        <f>'[29]YTD''25 Vs YTD''24 &amp; Bud'!$U$11*3.6726*(('2025 IR Data Book'!$A$5))</f>
        <v>0</v>
      </c>
      <c r="O96" s="130">
        <f>N96/$N$99</f>
        <v>0</v>
      </c>
      <c r="P96" s="132">
        <f t="shared" si="34"/>
        <v>0</v>
      </c>
      <c r="Q96" s="131" t="s">
        <v>244</v>
      </c>
      <c r="R96" s="143"/>
    </row>
    <row r="97" spans="2:18" x14ac:dyDescent="0.2">
      <c r="B97" s="20" t="s">
        <v>240</v>
      </c>
      <c r="C97" s="78">
        <f>'[29]Q4''25 Vs Q4''24 &amp; Bud'!$T$12*3.6726*(('2025 IR Data Book'!$A$5))</f>
        <v>379.62740704800001</v>
      </c>
      <c r="D97" s="130">
        <f t="shared" si="31"/>
        <v>6.4384773634509354E-2</v>
      </c>
      <c r="E97" s="78">
        <f>'[29]Q4''25 Vs Q4''24 &amp; Bud'!$U$12*3.6726*(('2025 IR Data Book'!$A$5))</f>
        <v>432.84547443000002</v>
      </c>
      <c r="F97" s="130">
        <f t="shared" si="32"/>
        <v>7.617683113216718E-2</v>
      </c>
      <c r="G97" s="132">
        <f t="shared" si="33"/>
        <v>-53.218067382000015</v>
      </c>
      <c r="H97" s="131">
        <f>(C97/E97)-1</f>
        <v>-0.12294934457171147</v>
      </c>
      <c r="I97" s="143"/>
      <c r="K97" s="20" t="s">
        <v>240</v>
      </c>
      <c r="L97" s="78">
        <f>'[29]YTD''25 Vs YTD''24 &amp; Bud'!$T$12*3.6726*(('2025 IR Data Book'!$A$5))</f>
        <v>1799.5535436179998</v>
      </c>
      <c r="M97" s="130">
        <f>L97/$L$99</f>
        <v>7.360114252622664E-2</v>
      </c>
      <c r="N97" s="78">
        <f>'[29]YTD''25 Vs YTD''24 &amp; Bud'!$U$12*3.6726*(('2025 IR Data Book'!$A$5))</f>
        <v>1882.1412830219997</v>
      </c>
      <c r="O97" s="130">
        <f>N97/$N$99</f>
        <v>9.8504030187678782E-2</v>
      </c>
      <c r="P97" s="132">
        <f t="shared" si="34"/>
        <v>-82.587739403999876</v>
      </c>
      <c r="Q97" s="131">
        <f>(L97/N97)-1</f>
        <v>-4.3879670537482429E-2</v>
      </c>
      <c r="R97" s="143"/>
    </row>
    <row r="98" spans="2:18" x14ac:dyDescent="0.2">
      <c r="C98" s="78"/>
      <c r="D98" s="130"/>
      <c r="E98" s="78"/>
      <c r="F98" s="130"/>
      <c r="G98" s="132"/>
      <c r="H98" s="131"/>
      <c r="I98" s="143"/>
      <c r="L98" s="78"/>
      <c r="M98" s="130"/>
      <c r="N98" s="78"/>
      <c r="O98" s="130"/>
      <c r="P98" s="132"/>
      <c r="Q98" s="131"/>
      <c r="R98" s="143"/>
    </row>
    <row r="99" spans="2:18" x14ac:dyDescent="0.2">
      <c r="B99" s="63" t="s">
        <v>241</v>
      </c>
      <c r="C99" s="79">
        <f>SUM(C93:C97)</f>
        <v>5896.2295837680003</v>
      </c>
      <c r="D99" s="130">
        <f>C99/$C$99</f>
        <v>1</v>
      </c>
      <c r="E99" s="79">
        <f>SUM(E93:E97)</f>
        <v>5682.1144696740002</v>
      </c>
      <c r="F99" s="130">
        <f>E99/$E$99</f>
        <v>1</v>
      </c>
      <c r="G99" s="133">
        <f>C99-E99</f>
        <v>214.11511409400009</v>
      </c>
      <c r="H99" s="134">
        <f>(C99/E99)-1</f>
        <v>3.7682295074615846E-2</v>
      </c>
      <c r="I99" s="143"/>
      <c r="K99" s="63" t="s">
        <v>241</v>
      </c>
      <c r="L99" s="79">
        <f>SUM(L93:L97)</f>
        <v>24450.076206041998</v>
      </c>
      <c r="M99" s="130">
        <f>L99/$L$99</f>
        <v>1</v>
      </c>
      <c r="N99" s="79">
        <f>SUM(N93:N97)</f>
        <v>19107.251545301995</v>
      </c>
      <c r="O99" s="130">
        <f>N99/$N$99</f>
        <v>1</v>
      </c>
      <c r="P99" s="133">
        <f>L99-N99</f>
        <v>5342.8246607400033</v>
      </c>
      <c r="Q99" s="134">
        <f>(L99/N99)-1</f>
        <v>0.27962287763221871</v>
      </c>
      <c r="R99" s="143"/>
    </row>
    <row r="100" spans="2:18" x14ac:dyDescent="0.2">
      <c r="C100" s="78"/>
      <c r="D100" s="135"/>
      <c r="E100" s="78"/>
      <c r="F100" s="135"/>
      <c r="G100" s="163"/>
      <c r="H100" s="131"/>
      <c r="I100" s="143"/>
      <c r="L100" s="78"/>
      <c r="M100" s="135"/>
      <c r="N100" s="78"/>
      <c r="O100" s="135"/>
      <c r="P100" s="163"/>
      <c r="Q100" s="131"/>
      <c r="R100" s="143"/>
    </row>
    <row r="101" spans="2:18" x14ac:dyDescent="0.2">
      <c r="B101" s="63" t="s">
        <v>40</v>
      </c>
      <c r="C101" s="79">
        <f>'[29]Q4''25 Vs Q4''24 &amp; Bud'!$T$16*3.6726*(('2025 IR Data Book'!$A$5))</f>
        <v>7962.0178307115575</v>
      </c>
      <c r="D101" s="130"/>
      <c r="E101" s="79">
        <f>'[29]Q4''25 Vs Q4''24 &amp; Bud'!$U$16*3.6726*(('2025 IR Data Book'!$A$5))</f>
        <v>27136.992129474802</v>
      </c>
      <c r="F101" s="136"/>
      <c r="G101" s="133">
        <f>C101-E101</f>
        <v>-19174.974298763245</v>
      </c>
      <c r="H101" s="134">
        <f>(C101/E101)-1</f>
        <v>-0.70659910307216311</v>
      </c>
      <c r="I101" s="143"/>
      <c r="K101" s="63" t="s">
        <v>40</v>
      </c>
      <c r="L101" s="79">
        <f>'[29]YTD''25 Vs YTD''24 &amp; Bud'!$T$16*3.6726*(('2025 IR Data Book'!$A$5))</f>
        <v>86871.964632699804</v>
      </c>
      <c r="M101" s="130"/>
      <c r="N101" s="79">
        <f>'[29]YTD''25 Vs YTD''24 &amp; Bud'!$U$16*3.6726*(('2025 IR Data Book'!$A$5))</f>
        <v>101186.87272465385</v>
      </c>
      <c r="O101" s="136"/>
      <c r="P101" s="133">
        <f>L101-N101</f>
        <v>-14314.908091954043</v>
      </c>
      <c r="Q101" s="134">
        <f>(L101/N101)-1</f>
        <v>-0.1414700119343274</v>
      </c>
      <c r="R101" s="143"/>
    </row>
    <row r="102" spans="2:18" x14ac:dyDescent="0.2">
      <c r="C102" s="2">
        <f>C101/C99</f>
        <v>1.3503574983970366</v>
      </c>
      <c r="E102" s="2">
        <f>E101/E99</f>
        <v>4.7758615695455591</v>
      </c>
      <c r="I102" s="143"/>
      <c r="L102" s="2">
        <f>L101/L99</f>
        <v>3.5530345141105277</v>
      </c>
      <c r="N102" s="2">
        <f>N101/N99</f>
        <v>5.2957314391735855</v>
      </c>
      <c r="R102" s="143"/>
    </row>
    <row r="103" spans="2:18" x14ac:dyDescent="0.2">
      <c r="B103" s="138"/>
      <c r="C103" s="138"/>
      <c r="D103" s="138"/>
      <c r="E103" s="138"/>
      <c r="F103" s="138"/>
      <c r="G103" s="35"/>
      <c r="H103" s="138"/>
      <c r="I103" s="145"/>
      <c r="K103" s="138"/>
      <c r="L103" s="138"/>
      <c r="M103" s="138"/>
      <c r="N103" s="138"/>
      <c r="O103" s="138"/>
      <c r="P103" s="35"/>
      <c r="Q103" s="138"/>
      <c r="R103" s="145"/>
    </row>
    <row r="104" spans="2:18" x14ac:dyDescent="0.2">
      <c r="I104" s="143"/>
      <c r="R104" s="143"/>
    </row>
    <row r="105" spans="2:18" x14ac:dyDescent="0.2">
      <c r="B105" s="63" t="s">
        <v>246</v>
      </c>
      <c r="I105" s="143"/>
      <c r="K105" s="63" t="s">
        <v>246</v>
      </c>
      <c r="R105" s="143"/>
    </row>
    <row r="106" spans="2:18" x14ac:dyDescent="0.2">
      <c r="B106" s="50" t="str">
        <f>$B$3</f>
        <v>Q4'25 vs Q4'24</v>
      </c>
      <c r="I106" s="143"/>
      <c r="K106" s="50" t="str">
        <f>$K$3</f>
        <v>FY '25  vs FY '24</v>
      </c>
      <c r="R106" s="143"/>
    </row>
    <row r="107" spans="2:18" x14ac:dyDescent="0.2">
      <c r="B107" s="45" t="s">
        <v>233</v>
      </c>
      <c r="I107" s="143"/>
      <c r="K107" s="45" t="s">
        <v>233</v>
      </c>
      <c r="R107" s="143"/>
    </row>
    <row r="108" spans="2:18" x14ac:dyDescent="0.2">
      <c r="C108" s="142" t="s">
        <v>234</v>
      </c>
      <c r="D108" s="127"/>
      <c r="E108" s="142" t="s">
        <v>234</v>
      </c>
      <c r="I108" s="143"/>
      <c r="L108" s="142" t="s">
        <v>234</v>
      </c>
      <c r="M108" s="127"/>
      <c r="N108" s="142" t="s">
        <v>234</v>
      </c>
      <c r="R108" s="143"/>
    </row>
    <row r="109" spans="2:18" x14ac:dyDescent="0.2">
      <c r="B109" s="128"/>
      <c r="C109" s="142" t="str">
        <f>$C$6</f>
        <v>Q4'25</v>
      </c>
      <c r="D109" s="127"/>
      <c r="E109" s="142" t="str">
        <f>$E$6</f>
        <v>Q4'24</v>
      </c>
      <c r="G109" s="162" t="s">
        <v>235</v>
      </c>
      <c r="H109" s="142" t="s">
        <v>36</v>
      </c>
      <c r="I109" s="143"/>
      <c r="K109" s="128"/>
      <c r="L109" s="142" t="str">
        <f>$L$6</f>
        <v>FY '25</v>
      </c>
      <c r="M109" s="127"/>
      <c r="N109" s="142" t="str">
        <f>$N$6</f>
        <v xml:space="preserve">FY '24 </v>
      </c>
      <c r="P109" s="162" t="s">
        <v>235</v>
      </c>
      <c r="Q109" s="142" t="s">
        <v>36</v>
      </c>
      <c r="R109" s="143"/>
    </row>
    <row r="110" spans="2:18" x14ac:dyDescent="0.2">
      <c r="H110" s="129"/>
      <c r="I110" s="143"/>
      <c r="Q110" s="129"/>
      <c r="R110" s="143"/>
    </row>
    <row r="111" spans="2:18" x14ac:dyDescent="0.2">
      <c r="B111" s="20" t="s">
        <v>236</v>
      </c>
      <c r="C111" s="78">
        <f>C8+C30+C51+C72+C93</f>
        <v>575452.80603200838</v>
      </c>
      <c r="D111" s="130">
        <f>C111/$C$117</f>
        <v>0.33846884881507305</v>
      </c>
      <c r="E111" s="78">
        <f>E8+E30+E51+E72+E93</f>
        <v>615059.67817260919</v>
      </c>
      <c r="F111" s="130">
        <f>E111/$E$117</f>
        <v>0.36283875774808327</v>
      </c>
      <c r="G111" s="132">
        <f>C111-E111</f>
        <v>-39606.872140600812</v>
      </c>
      <c r="H111" s="131">
        <f>(C111/E111)-1</f>
        <v>-6.4395169357022275E-2</v>
      </c>
      <c r="I111" s="143"/>
      <c r="K111" s="20" t="s">
        <v>236</v>
      </c>
      <c r="L111" s="78">
        <f>L8+L30+L51+L72+L93</f>
        <v>2144254.2362943003</v>
      </c>
      <c r="M111" s="130">
        <f>L111/$L$117</f>
        <v>0.33714977570686766</v>
      </c>
      <c r="N111" s="78">
        <f>N8+N30+N51+N72+N93</f>
        <v>2412483.6002635402</v>
      </c>
      <c r="O111" s="130">
        <f>N111/$N$117</f>
        <v>0.38145388111944412</v>
      </c>
      <c r="P111" s="132">
        <f>L111-N111</f>
        <v>-268229.36396923987</v>
      </c>
      <c r="Q111" s="131">
        <f>(L111/N111)-1</f>
        <v>-0.1111839118574478</v>
      </c>
      <c r="R111" s="143"/>
    </row>
    <row r="112" spans="2:18" x14ac:dyDescent="0.2">
      <c r="B112" s="20" t="s">
        <v>237</v>
      </c>
      <c r="C112" s="78">
        <f t="shared" ref="C112:E115" si="35">C9+C31+C52+C73+C94</f>
        <v>520361.58218742156</v>
      </c>
      <c r="D112" s="130">
        <f t="shared" ref="D112:D115" si="36">C112/$C$117</f>
        <v>0.30606538684732726</v>
      </c>
      <c r="E112" s="78">
        <f t="shared" si="35"/>
        <v>480687.50504217809</v>
      </c>
      <c r="F112" s="130">
        <f t="shared" ref="F112:F115" si="37">E112/$E$117</f>
        <v>0.28356932405766117</v>
      </c>
      <c r="G112" s="132">
        <f t="shared" ref="G112:G115" si="38">C112-E112</f>
        <v>39674.077145243471</v>
      </c>
      <c r="H112" s="131">
        <f>(C112/E112)-1</f>
        <v>8.253611073531486E-2</v>
      </c>
      <c r="I112" s="143"/>
      <c r="K112" s="20" t="s">
        <v>237</v>
      </c>
      <c r="L112" s="78">
        <f t="shared" ref="L112" si="39">L9+L31+L52+L73+L94</f>
        <v>1843244.3996279682</v>
      </c>
      <c r="M112" s="130">
        <f>L112/$L$117</f>
        <v>0.28982078029212532</v>
      </c>
      <c r="N112" s="78">
        <f t="shared" ref="N112" si="40">N9+N31+N52+N73+N94</f>
        <v>1685599.3696449632</v>
      </c>
      <c r="O112" s="130">
        <f>N112/$N$117</f>
        <v>0.26652136474350363</v>
      </c>
      <c r="P112" s="132">
        <f t="shared" ref="P112:P115" si="41">L112-N112</f>
        <v>157645.02998300502</v>
      </c>
      <c r="Q112" s="131">
        <f>(L112/N112)-1</f>
        <v>9.3524613749831786E-2</v>
      </c>
      <c r="R112" s="143"/>
    </row>
    <row r="113" spans="2:18" x14ac:dyDescent="0.2">
      <c r="B113" s="20" t="s">
        <v>238</v>
      </c>
      <c r="C113" s="78">
        <f t="shared" si="35"/>
        <v>454404.86543890118</v>
      </c>
      <c r="D113" s="130">
        <f t="shared" si="36"/>
        <v>0.26727107781714099</v>
      </c>
      <c r="E113" s="78">
        <f t="shared" si="35"/>
        <v>464481.15635382821</v>
      </c>
      <c r="F113" s="130">
        <f t="shared" si="37"/>
        <v>0.27400880231579711</v>
      </c>
      <c r="G113" s="73">
        <f t="shared" si="38"/>
        <v>-10076.290914927027</v>
      </c>
      <c r="H113" s="74">
        <f>(C113/E113)-1</f>
        <v>-2.1693648444268021E-2</v>
      </c>
      <c r="I113" s="143"/>
      <c r="K113" s="20" t="s">
        <v>238</v>
      </c>
      <c r="L113" s="78">
        <f t="shared" ref="L113" si="42">L10+L32+L53+L74+L95</f>
        <v>1791345.2146127075</v>
      </c>
      <c r="M113" s="130">
        <f>L113/$L$117</f>
        <v>0.28166046129119193</v>
      </c>
      <c r="N113" s="78">
        <f t="shared" ref="N113" si="43">N10+N32+N53+N74+N95</f>
        <v>1723972.9460669411</v>
      </c>
      <c r="O113" s="130">
        <f>N113/$N$117</f>
        <v>0.27258886698766316</v>
      </c>
      <c r="P113" s="73">
        <f>L113-N113</f>
        <v>67372.268545766361</v>
      </c>
      <c r="Q113" s="74">
        <f>(L113/N113)-1</f>
        <v>3.9079655338831731E-2</v>
      </c>
      <c r="R113" s="143"/>
    </row>
    <row r="114" spans="2:18" x14ac:dyDescent="0.2">
      <c r="B114" s="20" t="s">
        <v>239</v>
      </c>
      <c r="C114" s="78">
        <f t="shared" si="35"/>
        <v>138461.69700194203</v>
      </c>
      <c r="D114" s="130">
        <f t="shared" si="36"/>
        <v>8.144016450694308E-2</v>
      </c>
      <c r="E114" s="78">
        <f t="shared" si="35"/>
        <v>122730.00172842949</v>
      </c>
      <c r="F114" s="130">
        <f t="shared" si="37"/>
        <v>7.2401431838076555E-2</v>
      </c>
      <c r="G114" s="132">
        <f t="shared" si="38"/>
        <v>15731.695273512538</v>
      </c>
      <c r="H114" s="131">
        <f>(C114/E114)-1</f>
        <v>0.12818133343078419</v>
      </c>
      <c r="I114" s="143"/>
      <c r="K114" s="20" t="s">
        <v>239</v>
      </c>
      <c r="L114" s="78">
        <f t="shared" ref="L114" si="44">L11+L33+L54+L75+L96</f>
        <v>536747.97991668712</v>
      </c>
      <c r="M114" s="130">
        <f>L114/$L$117</f>
        <v>8.4395058187115027E-2</v>
      </c>
      <c r="N114" s="78">
        <f t="shared" ref="N114" si="45">N11+N33+N54+N75+N96</f>
        <v>455317.75803534058</v>
      </c>
      <c r="O114" s="130">
        <f>N114/$N$117</f>
        <v>7.1993329167589576E-2</v>
      </c>
      <c r="P114" s="132">
        <f t="shared" si="41"/>
        <v>81430.221881346544</v>
      </c>
      <c r="Q114" s="131">
        <f>(L114/N114)-1</f>
        <v>0.17884262241980498</v>
      </c>
      <c r="R114" s="143"/>
    </row>
    <row r="115" spans="2:18" x14ac:dyDescent="0.2">
      <c r="B115" s="20" t="s">
        <v>240</v>
      </c>
      <c r="C115" s="78">
        <f t="shared" si="35"/>
        <v>11483.800236536013</v>
      </c>
      <c r="D115" s="130">
        <f t="shared" si="36"/>
        <v>6.7545220135157473E-3</v>
      </c>
      <c r="E115" s="78">
        <f t="shared" si="35"/>
        <v>12173.904193778088</v>
      </c>
      <c r="F115" s="130">
        <f t="shared" si="37"/>
        <v>7.181684040381847E-3</v>
      </c>
      <c r="G115" s="132">
        <f t="shared" si="38"/>
        <v>-690.1039572420741</v>
      </c>
      <c r="H115" s="131">
        <f>(C115/E115)-1</f>
        <v>-5.6687151981594908E-2</v>
      </c>
      <c r="I115" s="143"/>
      <c r="K115" s="20" t="s">
        <v>240</v>
      </c>
      <c r="L115" s="78">
        <f t="shared" ref="L115" si="46">L12+L34+L55+L76+L97</f>
        <v>44353.780660373275</v>
      </c>
      <c r="M115" s="130">
        <f>L115/$L$117</f>
        <v>6.9739245227001274E-3</v>
      </c>
      <c r="N115" s="78">
        <f t="shared" ref="N115" si="47">N12+N34+N55+N76+N97</f>
        <v>47070.039036986331</v>
      </c>
      <c r="O115" s="130">
        <f>N115/$N$117</f>
        <v>7.4425579817996544E-3</v>
      </c>
      <c r="P115" s="132">
        <f t="shared" si="41"/>
        <v>-2716.2583766130556</v>
      </c>
      <c r="Q115" s="131">
        <f>(L115/N115)-1</f>
        <v>-5.7706737283109044E-2</v>
      </c>
      <c r="R115" s="143"/>
    </row>
    <row r="116" spans="2:18" x14ac:dyDescent="0.2">
      <c r="C116" s="78"/>
      <c r="D116" s="130"/>
      <c r="E116" s="78"/>
      <c r="F116" s="130"/>
      <c r="G116" s="132"/>
      <c r="H116" s="131"/>
      <c r="I116" s="143"/>
      <c r="L116" s="78"/>
      <c r="M116" s="130"/>
      <c r="N116" s="78"/>
      <c r="O116" s="130"/>
      <c r="P116" s="132"/>
      <c r="Q116" s="131"/>
      <c r="R116" s="143"/>
    </row>
    <row r="117" spans="2:18" x14ac:dyDescent="0.2">
      <c r="B117" s="63" t="s">
        <v>241</v>
      </c>
      <c r="C117" s="79">
        <f>SUM(C111:C115)</f>
        <v>1700164.7508968089</v>
      </c>
      <c r="D117" s="130">
        <f>C117/C117</f>
        <v>1</v>
      </c>
      <c r="E117" s="79">
        <f>SUM(E111:E115)</f>
        <v>1695132.2454908232</v>
      </c>
      <c r="F117" s="130">
        <f>E117/$E$117</f>
        <v>1</v>
      </c>
      <c r="G117" s="133">
        <f>C117-E117</f>
        <v>5032.5054059857503</v>
      </c>
      <c r="H117" s="134">
        <f>(C117/E117)-1</f>
        <v>2.9687981096298E-3</v>
      </c>
      <c r="I117" s="143"/>
      <c r="K117" s="63" t="s">
        <v>241</v>
      </c>
      <c r="L117" s="79">
        <f>SUM(L111:L115)</f>
        <v>6359945.6111120358</v>
      </c>
      <c r="M117" s="130">
        <f>L117/L117</f>
        <v>1</v>
      </c>
      <c r="N117" s="79">
        <f>SUM(N111:N115)</f>
        <v>6324443.7130477708</v>
      </c>
      <c r="O117" s="130">
        <f>N117/$N$117</f>
        <v>1</v>
      </c>
      <c r="P117" s="133">
        <f>L117-N117</f>
        <v>35501.898064265028</v>
      </c>
      <c r="Q117" s="134">
        <f>(L117/N117)-1</f>
        <v>5.6134420156230824E-3</v>
      </c>
      <c r="R117" s="143"/>
    </row>
    <row r="118" spans="2:18" x14ac:dyDescent="0.2">
      <c r="C118" s="200"/>
      <c r="D118" s="137"/>
      <c r="E118" s="200"/>
      <c r="F118" s="135"/>
      <c r="G118" s="163"/>
      <c r="H118" s="131"/>
      <c r="I118" s="143"/>
      <c r="L118" s="200"/>
      <c r="M118" s="137"/>
      <c r="N118" s="200"/>
      <c r="O118" s="135"/>
      <c r="P118" s="163"/>
      <c r="Q118" s="131"/>
      <c r="R118" s="143"/>
    </row>
    <row r="119" spans="2:18" x14ac:dyDescent="0.2">
      <c r="B119" s="63" t="s">
        <v>40</v>
      </c>
      <c r="C119" s="79">
        <f>C16+C38+C59+C80+C101</f>
        <v>385261.93566633249</v>
      </c>
      <c r="D119" s="136">
        <f>C119/C117</f>
        <v>0.22660270745121211</v>
      </c>
      <c r="E119" s="79">
        <f>E16+E38+E59+E80+E101</f>
        <v>398609.27218121552</v>
      </c>
      <c r="F119" s="136">
        <f>E119/E117</f>
        <v>0.23514936562710406</v>
      </c>
      <c r="G119" s="133">
        <f>C119-E119</f>
        <v>-13347.336514883034</v>
      </c>
      <c r="H119" s="134">
        <f>(C119/E119)-1</f>
        <v>-3.3484761761425008E-2</v>
      </c>
      <c r="I119" s="143"/>
      <c r="K119" s="63" t="s">
        <v>40</v>
      </c>
      <c r="L119" s="79">
        <f>L16+L38+L59+L80+L101</f>
        <v>1449467.8346966745</v>
      </c>
      <c r="M119" s="136">
        <f>L119/L117</f>
        <v>0.22790569657768428</v>
      </c>
      <c r="N119" s="79">
        <f>N16+N38+N59+N80+N101</f>
        <v>1512203.1534906684</v>
      </c>
      <c r="O119" s="136">
        <f>N119/N117</f>
        <v>0.23910453189280303</v>
      </c>
      <c r="P119" s="133">
        <f>L119-N119</f>
        <v>-62735.318793993909</v>
      </c>
      <c r="Q119" s="134">
        <f>(L119/N119)-1</f>
        <v>-4.1486038862688424E-2</v>
      </c>
      <c r="R119" s="143"/>
    </row>
    <row r="120" spans="2:18" x14ac:dyDescent="0.2">
      <c r="C120" s="81">
        <f>C119-'Group Profit &amp; Loss Stm'!Z10</f>
        <v>1.3969838619232178E-9</v>
      </c>
      <c r="D120" s="81"/>
      <c r="E120" s="81">
        <f>E119-'Group Profit &amp; Loss Stm'!U10</f>
        <v>5.7184143224731088E-4</v>
      </c>
      <c r="I120" s="143"/>
      <c r="L120" s="81">
        <f>L119-'Group Profit &amp; Loss Stm'!AA10</f>
        <v>0</v>
      </c>
      <c r="M120" s="81"/>
      <c r="N120" s="81">
        <f>N119-'Group Profit &amp; Loss Stm'!V10</f>
        <v>0</v>
      </c>
      <c r="R120" s="143"/>
    </row>
    <row r="121" spans="2:18" x14ac:dyDescent="0.2">
      <c r="B121" s="28"/>
      <c r="C121" s="81">
        <f>'Group Profit &amp; Loss Stm'!Z8-C117</f>
        <v>0</v>
      </c>
      <c r="D121" s="81"/>
      <c r="E121" s="81">
        <f>'Group Profit &amp; Loss Stm'!U8-E117</f>
        <v>0</v>
      </c>
      <c r="I121" s="143"/>
      <c r="K121" s="28"/>
      <c r="L121" s="81">
        <f>'Group Profit &amp; Loss Stm'!AA8-L117</f>
        <v>0</v>
      </c>
      <c r="M121" s="81"/>
      <c r="N121" s="81">
        <f>'Group Profit &amp; Loss Stm'!V8-N117</f>
        <v>0</v>
      </c>
      <c r="R121" s="143"/>
    </row>
    <row r="122" spans="2:18" x14ac:dyDescent="0.2">
      <c r="C122" s="81"/>
      <c r="E122" s="81"/>
      <c r="I122" s="143"/>
      <c r="L122" s="81"/>
      <c r="N122" s="81"/>
      <c r="R122" s="143"/>
    </row>
    <row r="123" spans="2:18" x14ac:dyDescent="0.2">
      <c r="I123" s="143"/>
      <c r="N123" s="125"/>
      <c r="R123" s="143"/>
    </row>
    <row r="124" spans="2:18" x14ac:dyDescent="0.2">
      <c r="B124" s="20" t="s">
        <v>247</v>
      </c>
      <c r="I124" s="143"/>
      <c r="K124" s="20" t="s">
        <v>247</v>
      </c>
      <c r="R124" s="143"/>
    </row>
    <row r="125" spans="2:18" x14ac:dyDescent="0.2">
      <c r="B125" s="20" t="s">
        <v>237</v>
      </c>
      <c r="C125" s="81">
        <f>C20+C41+C62+C83</f>
        <v>33400622</v>
      </c>
      <c r="D125" s="81"/>
      <c r="E125" s="81">
        <f>E20+E41+E62+E83</f>
        <v>31031070</v>
      </c>
      <c r="G125" s="81"/>
      <c r="H125" s="81"/>
      <c r="I125" s="144"/>
      <c r="K125" s="20" t="s">
        <v>237</v>
      </c>
      <c r="L125" s="81">
        <f>L20+L41+L62+L83</f>
        <v>119834966</v>
      </c>
      <c r="M125" s="81"/>
      <c r="N125" s="81">
        <f>N20+N41+N62+N83</f>
        <v>111256102</v>
      </c>
      <c r="P125" s="81"/>
      <c r="Q125" s="81"/>
      <c r="R125" s="144"/>
    </row>
    <row r="126" spans="2:18" x14ac:dyDescent="0.2">
      <c r="B126" s="20" t="s">
        <v>236</v>
      </c>
      <c r="C126" s="81">
        <f>C21+C42+C63+C84</f>
        <v>6325792</v>
      </c>
      <c r="D126" s="81"/>
      <c r="E126" s="81">
        <f>E21+E42+E63+E84</f>
        <v>7179254</v>
      </c>
      <c r="G126" s="81"/>
      <c r="H126" s="81"/>
      <c r="I126" s="144"/>
      <c r="K126" s="20" t="s">
        <v>236</v>
      </c>
      <c r="L126" s="81">
        <f>L21+L42+L63+L84</f>
        <v>23579438</v>
      </c>
      <c r="M126" s="81"/>
      <c r="N126" s="81">
        <f>N21+N42+N63+N84</f>
        <v>28095131</v>
      </c>
      <c r="P126" s="81"/>
      <c r="Q126" s="81"/>
      <c r="R126" s="144"/>
    </row>
    <row r="127" spans="2:18" x14ac:dyDescent="0.2">
      <c r="C127" s="81"/>
      <c r="D127" s="81"/>
      <c r="E127" s="81"/>
      <c r="G127" s="165"/>
      <c r="H127" s="81"/>
      <c r="I127" s="144"/>
      <c r="L127" s="81"/>
      <c r="M127" s="81"/>
      <c r="N127" s="81"/>
      <c r="P127" s="165"/>
      <c r="Q127" s="81"/>
      <c r="R127" s="144"/>
    </row>
    <row r="128" spans="2:18" s="50" customFormat="1" x14ac:dyDescent="0.2">
      <c r="C128" s="140">
        <f>C125-'Aramex Courier'!Z19</f>
        <v>0</v>
      </c>
      <c r="E128" s="140">
        <f>E125-'Aramex Courier'!U19</f>
        <v>0</v>
      </c>
      <c r="F128" s="28"/>
      <c r="G128" s="166"/>
      <c r="I128" s="147"/>
      <c r="L128" s="140">
        <f>L125-'Aramex Courier'!AA19</f>
        <v>0</v>
      </c>
      <c r="N128" s="140">
        <f>N125-'Aramex Courier'!V19</f>
        <v>0</v>
      </c>
      <c r="O128" s="28"/>
      <c r="P128" s="166"/>
      <c r="R128" s="147"/>
    </row>
    <row r="129" spans="2:18" s="50" customFormat="1" x14ac:dyDescent="0.2">
      <c r="C129" s="140">
        <f>C126-'Aramex Courier'!Z20</f>
        <v>0</v>
      </c>
      <c r="E129" s="140">
        <f>E126-'Aramex Courier'!U20</f>
        <v>0</v>
      </c>
      <c r="G129" s="166"/>
      <c r="L129" s="140">
        <f>L126-'Aramex Courier'!AA20</f>
        <v>0</v>
      </c>
      <c r="N129" s="140">
        <f>N126-'Aramex Courier'!V20</f>
        <v>0</v>
      </c>
      <c r="P129" s="166"/>
    </row>
    <row r="130" spans="2:18" s="50" customFormat="1" x14ac:dyDescent="0.2">
      <c r="C130" s="140"/>
      <c r="E130" s="140"/>
      <c r="G130" s="166"/>
      <c r="L130" s="140"/>
      <c r="N130" s="140"/>
      <c r="P130" s="166"/>
    </row>
    <row r="131" spans="2:18" s="50" customFormat="1" x14ac:dyDescent="0.2">
      <c r="C131" s="166"/>
      <c r="E131" s="166"/>
      <c r="G131" s="166"/>
      <c r="L131" s="166"/>
      <c r="N131" s="166"/>
      <c r="P131" s="166"/>
    </row>
    <row r="132" spans="2:18" s="50" customFormat="1" x14ac:dyDescent="0.2">
      <c r="C132" s="166"/>
      <c r="E132" s="166"/>
      <c r="G132" s="166"/>
      <c r="L132" s="166"/>
      <c r="N132" s="166"/>
      <c r="P132" s="166"/>
    </row>
    <row r="133" spans="2:18" s="50" customFormat="1" x14ac:dyDescent="0.2">
      <c r="C133" s="166"/>
      <c r="G133" s="166"/>
      <c r="L133" s="166"/>
      <c r="P133" s="166"/>
    </row>
    <row r="134" spans="2:18" s="50" customFormat="1" x14ac:dyDescent="0.2">
      <c r="C134" s="166"/>
      <c r="G134" s="166"/>
      <c r="L134" s="166"/>
      <c r="P134" s="166"/>
    </row>
    <row r="135" spans="2:18" s="50" customFormat="1" x14ac:dyDescent="0.2">
      <c r="C135" s="166"/>
      <c r="G135" s="166"/>
      <c r="L135" s="166"/>
      <c r="P135" s="166"/>
    </row>
    <row r="136" spans="2:18" s="50" customFormat="1" x14ac:dyDescent="0.2">
      <c r="G136" s="166"/>
      <c r="P136" s="166"/>
    </row>
    <row r="137" spans="2:18" s="50" customFormat="1" x14ac:dyDescent="0.2">
      <c r="C137" s="141"/>
      <c r="G137" s="166"/>
      <c r="L137" s="141"/>
      <c r="P137" s="166"/>
    </row>
    <row r="138" spans="2:18" s="50" customFormat="1" x14ac:dyDescent="0.2">
      <c r="C138" s="141"/>
      <c r="D138" s="166"/>
      <c r="E138" s="166"/>
      <c r="F138" s="166"/>
      <c r="G138" s="166"/>
      <c r="H138" s="166"/>
      <c r="I138" s="166"/>
      <c r="L138" s="141"/>
      <c r="M138" s="166"/>
      <c r="N138" s="166"/>
      <c r="O138" s="166"/>
      <c r="P138" s="166"/>
      <c r="Q138" s="166"/>
      <c r="R138" s="166"/>
    </row>
    <row r="139" spans="2:18" x14ac:dyDescent="0.2">
      <c r="B139" s="142" t="s">
        <v>248</v>
      </c>
      <c r="C139" s="207"/>
      <c r="K139" s="142" t="s">
        <v>248</v>
      </c>
      <c r="L139" s="207"/>
    </row>
    <row r="140" spans="2:18" x14ac:dyDescent="0.2">
      <c r="B140" s="208" t="s">
        <v>357</v>
      </c>
      <c r="C140" s="209">
        <f>E125</f>
        <v>31031070</v>
      </c>
      <c r="D140" s="203">
        <f>C140/1000000</f>
        <v>31.03107</v>
      </c>
      <c r="K140" s="208" t="s">
        <v>363</v>
      </c>
      <c r="L140" s="209">
        <f>N125</f>
        <v>111256102</v>
      </c>
      <c r="M140" s="203">
        <f>L140/1000000</f>
        <v>111.256102</v>
      </c>
    </row>
    <row r="141" spans="2:18" x14ac:dyDescent="0.2">
      <c r="B141" s="259" t="s">
        <v>333</v>
      </c>
      <c r="C141" s="49">
        <f>G20</f>
        <v>299729</v>
      </c>
      <c r="D141" s="203">
        <f t="shared" ref="D141:D145" si="48">C141/1000000</f>
        <v>0.29972900000000002</v>
      </c>
      <c r="K141" s="259" t="s">
        <v>333</v>
      </c>
      <c r="L141" s="49">
        <f>P20</f>
        <v>1028661</v>
      </c>
      <c r="M141" s="203">
        <f t="shared" ref="M141:M145" si="49">L141/1000000</f>
        <v>1.028661</v>
      </c>
    </row>
    <row r="142" spans="2:18" x14ac:dyDescent="0.2">
      <c r="B142" s="127" t="s">
        <v>243</v>
      </c>
      <c r="C142" s="49">
        <f>G41</f>
        <v>1541649</v>
      </c>
      <c r="D142" s="203">
        <f t="shared" si="48"/>
        <v>1.541649</v>
      </c>
      <c r="K142" s="127" t="s">
        <v>243</v>
      </c>
      <c r="L142" s="49">
        <f>P41</f>
        <v>7489235</v>
      </c>
      <c r="M142" s="203">
        <f t="shared" si="49"/>
        <v>7.4892349999999999</v>
      </c>
    </row>
    <row r="143" spans="2:18" x14ac:dyDescent="0.2">
      <c r="B143" s="259" t="s">
        <v>334</v>
      </c>
      <c r="C143" s="49">
        <f>G62</f>
        <v>-17942</v>
      </c>
      <c r="D143" s="203">
        <f t="shared" si="48"/>
        <v>-1.7942E-2</v>
      </c>
      <c r="K143" s="259" t="s">
        <v>334</v>
      </c>
      <c r="L143" s="49">
        <f>P62</f>
        <v>-26406</v>
      </c>
      <c r="M143" s="203">
        <f t="shared" si="49"/>
        <v>-2.6405999999999999E-2</v>
      </c>
    </row>
    <row r="144" spans="2:18" x14ac:dyDescent="0.2">
      <c r="B144" s="259" t="s">
        <v>335</v>
      </c>
      <c r="C144" s="49">
        <f>G83</f>
        <v>546116</v>
      </c>
      <c r="D144" s="203">
        <f t="shared" si="48"/>
        <v>0.54611600000000005</v>
      </c>
      <c r="K144" s="259" t="s">
        <v>335</v>
      </c>
      <c r="L144" s="49">
        <f>P83</f>
        <v>87374</v>
      </c>
      <c r="M144" s="203">
        <f t="shared" si="49"/>
        <v>8.7373999999999993E-2</v>
      </c>
    </row>
    <row r="145" spans="2:13" ht="13.5" thickBot="1" x14ac:dyDescent="0.25">
      <c r="B145" s="210" t="s">
        <v>358</v>
      </c>
      <c r="C145" s="211">
        <f>SUM(C140:C144)</f>
        <v>33400622</v>
      </c>
      <c r="D145" s="203">
        <f t="shared" si="48"/>
        <v>33.400621999999998</v>
      </c>
      <c r="K145" s="210" t="s">
        <v>364</v>
      </c>
      <c r="L145" s="211">
        <f>SUM(L140:L144)</f>
        <v>119834966</v>
      </c>
      <c r="M145" s="203">
        <f t="shared" si="49"/>
        <v>119.83496599999999</v>
      </c>
    </row>
    <row r="146" spans="2:13" ht="13.5" thickTop="1" x14ac:dyDescent="0.2">
      <c r="B146" s="63"/>
      <c r="C146" s="139">
        <f>C145-C125</f>
        <v>0</v>
      </c>
      <c r="K146" s="63"/>
      <c r="L146" s="139">
        <f>L145-L125</f>
        <v>0</v>
      </c>
    </row>
    <row r="149" spans="2:13" x14ac:dyDescent="0.2">
      <c r="B149" s="142" t="s">
        <v>249</v>
      </c>
      <c r="C149" s="207"/>
      <c r="K149" s="142" t="s">
        <v>249</v>
      </c>
      <c r="L149" s="207"/>
    </row>
    <row r="150" spans="2:13" x14ac:dyDescent="0.2">
      <c r="B150" s="208" t="str">
        <f>B140</f>
        <v>Q4'2024</v>
      </c>
      <c r="C150" s="209">
        <f>E126</f>
        <v>7179254</v>
      </c>
      <c r="D150" s="203">
        <f>C150/1000000</f>
        <v>7.1792540000000002</v>
      </c>
      <c r="K150" s="208" t="str">
        <f>K140</f>
        <v>FY '2024</v>
      </c>
      <c r="L150" s="209">
        <f>N126</f>
        <v>28095131</v>
      </c>
      <c r="M150" s="203">
        <f>L150/1000000</f>
        <v>28.095130999999999</v>
      </c>
    </row>
    <row r="151" spans="2:13" x14ac:dyDescent="0.2">
      <c r="B151" s="259" t="s">
        <v>333</v>
      </c>
      <c r="C151" s="49">
        <f>G21</f>
        <v>-577071</v>
      </c>
      <c r="D151" s="203">
        <f t="shared" ref="D151:D155" si="50">C151/1000000</f>
        <v>-0.577071</v>
      </c>
      <c r="K151" s="259" t="s">
        <v>333</v>
      </c>
      <c r="L151" s="49">
        <f>P21</f>
        <v>-5022398</v>
      </c>
      <c r="M151" s="203">
        <f t="shared" ref="M151:M155" si="51">L151/1000000</f>
        <v>-5.0223979999999999</v>
      </c>
    </row>
    <row r="152" spans="2:13" x14ac:dyDescent="0.2">
      <c r="B152" s="127" t="s">
        <v>243</v>
      </c>
      <c r="C152" s="49">
        <f>G42</f>
        <v>-245341</v>
      </c>
      <c r="D152" s="203">
        <f t="shared" si="50"/>
        <v>-0.245341</v>
      </c>
      <c r="K152" s="127" t="s">
        <v>243</v>
      </c>
      <c r="L152" s="49">
        <f>P42</f>
        <v>556970</v>
      </c>
      <c r="M152" s="203">
        <f t="shared" si="51"/>
        <v>0.55696999999999997</v>
      </c>
    </row>
    <row r="153" spans="2:13" x14ac:dyDescent="0.2">
      <c r="B153" s="259" t="s">
        <v>334</v>
      </c>
      <c r="C153" s="49">
        <f>G63</f>
        <v>-54238</v>
      </c>
      <c r="D153" s="203">
        <f t="shared" si="50"/>
        <v>-5.4238000000000001E-2</v>
      </c>
      <c r="K153" s="259" t="s">
        <v>334</v>
      </c>
      <c r="L153" s="49">
        <f>P63</f>
        <v>175663</v>
      </c>
      <c r="M153" s="203">
        <f t="shared" si="51"/>
        <v>0.17566300000000001</v>
      </c>
    </row>
    <row r="154" spans="2:13" x14ac:dyDescent="0.2">
      <c r="B154" s="259" t="s">
        <v>335</v>
      </c>
      <c r="C154" s="49">
        <f>G84</f>
        <v>23188</v>
      </c>
      <c r="D154" s="203">
        <f t="shared" si="50"/>
        <v>2.3188E-2</v>
      </c>
      <c r="K154" s="259" t="s">
        <v>335</v>
      </c>
      <c r="L154" s="49">
        <f>P84</f>
        <v>-225928</v>
      </c>
      <c r="M154" s="203">
        <f t="shared" si="51"/>
        <v>-0.22592799999999999</v>
      </c>
    </row>
    <row r="155" spans="2:13" ht="13.5" thickBot="1" x14ac:dyDescent="0.25">
      <c r="B155" s="210" t="str">
        <f>B145</f>
        <v>Q4'2025</v>
      </c>
      <c r="C155" s="211">
        <f>SUM(C150:C154)</f>
        <v>6325792</v>
      </c>
      <c r="D155" s="203">
        <f t="shared" si="50"/>
        <v>6.3257919999999999</v>
      </c>
      <c r="K155" s="210" t="str">
        <f>K145</f>
        <v>FY '2025</v>
      </c>
      <c r="L155" s="211">
        <f>SUM(L150:L154)</f>
        <v>23579438</v>
      </c>
      <c r="M155" s="203">
        <f t="shared" si="51"/>
        <v>23.579438</v>
      </c>
    </row>
    <row r="156" spans="2:13" ht="13.5" thickTop="1" x14ac:dyDescent="0.2">
      <c r="C156" s="139">
        <f>C155-C126</f>
        <v>0</v>
      </c>
      <c r="L156" s="139">
        <f>L155-L126</f>
        <v>0</v>
      </c>
    </row>
    <row r="162" spans="2:12" x14ac:dyDescent="0.2">
      <c r="B162" s="142" t="s">
        <v>250</v>
      </c>
      <c r="C162" s="142"/>
      <c r="K162" s="142" t="s">
        <v>250</v>
      </c>
      <c r="L162" s="142"/>
    </row>
    <row r="163" spans="2:12" x14ac:dyDescent="0.2">
      <c r="B163" s="208" t="str">
        <f>B140</f>
        <v>Q4'2024</v>
      </c>
      <c r="C163" s="209">
        <f>E117/1000</f>
        <v>1695.1322454908232</v>
      </c>
      <c r="K163" s="208" t="str">
        <f>K140</f>
        <v>FY '2024</v>
      </c>
      <c r="L163" s="209">
        <f>N117/1000</f>
        <v>6324.4437130477709</v>
      </c>
    </row>
    <row r="164" spans="2:12" x14ac:dyDescent="0.2">
      <c r="B164" s="259" t="s">
        <v>333</v>
      </c>
      <c r="C164" s="49">
        <f>G14/1000</f>
        <v>-6.3733727288697262</v>
      </c>
      <c r="K164" s="259" t="s">
        <v>333</v>
      </c>
      <c r="L164" s="49">
        <f>P14/1000</f>
        <v>-174.24981144578126</v>
      </c>
    </row>
    <row r="165" spans="2:12" x14ac:dyDescent="0.2">
      <c r="B165" s="127" t="s">
        <v>243</v>
      </c>
      <c r="C165" s="49">
        <f>G36/1000</f>
        <v>5.4268249714444394</v>
      </c>
      <c r="K165" s="127" t="s">
        <v>243</v>
      </c>
      <c r="L165" s="49">
        <f>P36/1000</f>
        <v>188.04978342338885</v>
      </c>
    </row>
    <row r="166" spans="2:12" x14ac:dyDescent="0.2">
      <c r="B166" s="259" t="s">
        <v>334</v>
      </c>
      <c r="C166" s="49">
        <f>G57/1000</f>
        <v>10.465882339417702</v>
      </c>
      <c r="K166" s="259" t="s">
        <v>334</v>
      </c>
      <c r="L166" s="49">
        <f>P57/1000</f>
        <v>24.028763818437</v>
      </c>
    </row>
    <row r="167" spans="2:12" x14ac:dyDescent="0.2">
      <c r="B167" s="259" t="s">
        <v>335</v>
      </c>
      <c r="C167" s="49">
        <f>G78/1000</f>
        <v>-4.7009442901003062</v>
      </c>
      <c r="K167" s="259" t="s">
        <v>335</v>
      </c>
      <c r="L167" s="49">
        <f>P78/1000</f>
        <v>-7.6696623925201131</v>
      </c>
    </row>
    <row r="168" spans="2:12" x14ac:dyDescent="0.2">
      <c r="B168" s="127" t="s">
        <v>251</v>
      </c>
      <c r="C168" s="49">
        <f>G99/1000</f>
        <v>0.21411511409400008</v>
      </c>
      <c r="K168" s="127" t="s">
        <v>251</v>
      </c>
      <c r="L168" s="49">
        <f>P99/1000</f>
        <v>5.3428246607400034</v>
      </c>
    </row>
    <row r="169" spans="2:12" ht="13.5" thickBot="1" x14ac:dyDescent="0.25">
      <c r="B169" s="210" t="str">
        <f>B145</f>
        <v>Q4'2025</v>
      </c>
      <c r="C169" s="211">
        <f>SUM(C163:C168)</f>
        <v>1700.1647508968092</v>
      </c>
      <c r="K169" s="210" t="str">
        <f>K145</f>
        <v>FY '2025</v>
      </c>
      <c r="L169" s="211">
        <f>SUM(L163:L168)</f>
        <v>6359.9456111120362</v>
      </c>
    </row>
    <row r="170" spans="2:12" ht="13.5" thickTop="1" x14ac:dyDescent="0.2"/>
  </sheetData>
  <pageMargins left="0.7" right="0.7" top="0.75" bottom="0.75" header="0.3" footer="0.3"/>
  <pageSetup paperSize="9" orientation="portrait" r:id="rId1"/>
  <ignoredErrors>
    <ignoredError sqref="D14 D111:D119 D57 D78 D36 E119 M14 M36 M78 M111:M119 M99 M57 N119" formula="1"/>
    <ignoredError sqref="F21 F42:H42 H2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6245-B883-4CA8-9EF0-15ADEE571A91}">
  <dimension ref="A1:R233"/>
  <sheetViews>
    <sheetView showGridLines="0" workbookViewId="0">
      <pane xSplit="2" ySplit="6" topLeftCell="C211" activePane="bottomRight" state="frozen"/>
      <selection activeCell="R17" sqref="R17"/>
      <selection pane="topRight" activeCell="R17" sqref="R17"/>
      <selection pane="bottomLeft" activeCell="R17" sqref="R17"/>
      <selection pane="bottomRight" activeCell="K199" sqref="K199"/>
    </sheetView>
  </sheetViews>
  <sheetFormatPr defaultColWidth="9.140625" defaultRowHeight="12.75" x14ac:dyDescent="0.2"/>
  <cols>
    <col min="1" max="1" width="3.42578125" style="20" customWidth="1"/>
    <col min="2" max="2" width="13.7109375" style="20" customWidth="1"/>
    <col min="3" max="3" width="15.140625" style="20" customWidth="1"/>
    <col min="4" max="4" width="22.140625" style="20" bestFit="1" customWidth="1"/>
    <col min="5" max="9" width="15.140625" style="20" customWidth="1"/>
    <col min="10" max="10" width="9.140625" style="20"/>
    <col min="11" max="11" width="13.85546875" style="20" customWidth="1"/>
    <col min="12" max="16" width="13.5703125" style="20" customWidth="1"/>
    <col min="17" max="17" width="9.140625" style="20"/>
    <col min="18" max="18" width="8.5703125" style="20" customWidth="1"/>
    <col min="19" max="16384" width="9.140625" style="20"/>
  </cols>
  <sheetData>
    <row r="1" spans="1:16" x14ac:dyDescent="0.2">
      <c r="A1" s="154">
        <f>'2025 IR Data Book'!$A$5</f>
        <v>1</v>
      </c>
    </row>
    <row r="2" spans="1:16" ht="15" x14ac:dyDescent="0.25">
      <c r="C2" s="110" t="s">
        <v>342</v>
      </c>
      <c r="D2" s="110"/>
      <c r="E2" s="110"/>
    </row>
    <row r="3" spans="1:16" ht="15" x14ac:dyDescent="0.25">
      <c r="C3" s="110"/>
      <c r="D3" s="110"/>
      <c r="E3" s="110"/>
    </row>
    <row r="4" spans="1:16" x14ac:dyDescent="0.2">
      <c r="B4" s="111"/>
    </row>
    <row r="5" spans="1:16" x14ac:dyDescent="0.2">
      <c r="B5" s="112"/>
      <c r="C5" s="277" t="s">
        <v>18</v>
      </c>
      <c r="D5" s="277"/>
      <c r="E5" s="277"/>
      <c r="F5" s="277"/>
      <c r="G5" s="277"/>
      <c r="H5" s="277"/>
      <c r="I5" s="277"/>
      <c r="K5" s="112"/>
      <c r="L5" s="277" t="s">
        <v>252</v>
      </c>
      <c r="M5" s="277"/>
      <c r="N5" s="277"/>
      <c r="O5" s="277"/>
      <c r="P5" s="277"/>
    </row>
    <row r="6" spans="1:16" x14ac:dyDescent="0.2">
      <c r="B6" s="112"/>
      <c r="C6" s="124" t="s">
        <v>253</v>
      </c>
      <c r="D6" s="124" t="s">
        <v>254</v>
      </c>
      <c r="E6" s="124" t="s">
        <v>237</v>
      </c>
      <c r="F6" s="124" t="s">
        <v>255</v>
      </c>
      <c r="G6" s="124" t="s">
        <v>256</v>
      </c>
      <c r="H6" s="124" t="s">
        <v>257</v>
      </c>
      <c r="I6" s="124" t="s">
        <v>246</v>
      </c>
      <c r="K6" s="112"/>
      <c r="L6" s="124" t="s">
        <v>253</v>
      </c>
      <c r="M6" s="124" t="s">
        <v>255</v>
      </c>
      <c r="N6" s="124" t="s">
        <v>256</v>
      </c>
      <c r="O6" s="124" t="s">
        <v>257</v>
      </c>
      <c r="P6" s="124" t="s">
        <v>246</v>
      </c>
    </row>
    <row r="7" spans="1:16" x14ac:dyDescent="0.2">
      <c r="B7" s="51" t="s">
        <v>258</v>
      </c>
      <c r="C7" s="113">
        <f>'Aramex Courier'!C7</f>
        <v>1002142.34808517</v>
      </c>
      <c r="D7" s="113">
        <f>'Aramex Express+Parcel Forwardin'!C7</f>
        <v>646524.48385896604</v>
      </c>
      <c r="E7" s="113">
        <f>'Aramex Domestic'!C7</f>
        <v>355617.86422928999</v>
      </c>
      <c r="F7" s="113">
        <f>'Aramex Freight'!C7</f>
        <v>288280.57594077598</v>
      </c>
      <c r="G7" s="113">
        <f>'Aramex Logistics'!C7</f>
        <v>104585.74155784999</v>
      </c>
      <c r="H7" s="113">
        <f>29924.5277420579*('2025 IR Data Book'!$A$5)</f>
        <v>29924.5277420579</v>
      </c>
      <c r="I7" s="113">
        <f>C7+F7+G7+H7</f>
        <v>1424933.1933258539</v>
      </c>
      <c r="J7" s="81">
        <f t="shared" ref="J7:J9" si="0">C7-D7-E7</f>
        <v>-3.0859955586493015E-6</v>
      </c>
      <c r="K7" s="51" t="s">
        <v>258</v>
      </c>
      <c r="L7" s="113">
        <f>768414.063708547*('2025 IR Data Book'!$A$5)</f>
        <v>768414.06370854704</v>
      </c>
      <c r="M7" s="113">
        <f>262436.900433545*('2025 IR Data Book'!$A$5)</f>
        <v>262436.900433545</v>
      </c>
      <c r="N7" s="113">
        <f>95044.3885739144*('2025 IR Data Book'!$A$5)</f>
        <v>95044.388573914403</v>
      </c>
      <c r="O7" s="113">
        <f>25748.7833390512*('2025 IR Data Book'!$A$5)</f>
        <v>25748.783339051199</v>
      </c>
      <c r="P7" s="113">
        <f>SUM(L7:O7)</f>
        <v>1151644.1360550576</v>
      </c>
    </row>
    <row r="8" spans="1:16" x14ac:dyDescent="0.2">
      <c r="B8" s="52" t="s">
        <v>207</v>
      </c>
      <c r="C8" s="114">
        <f>'Aramex Courier'!C10</f>
        <v>285114.34617793805</v>
      </c>
      <c r="D8" s="114">
        <f>'Aramex Express+Parcel Forwardin'!C10</f>
        <v>202400.03624639905</v>
      </c>
      <c r="E8" s="114">
        <f>'Aramex Domestic'!C9</f>
        <v>82714.30988910998</v>
      </c>
      <c r="F8" s="114">
        <f>'Aramex Freight'!C9</f>
        <v>36832.960462398973</v>
      </c>
      <c r="G8" s="114">
        <f>'Aramex Logistics'!C9</f>
        <v>18031.788640835293</v>
      </c>
      <c r="H8" s="114">
        <f>18667.8494106557*('2025 IR Data Book'!$A$5)</f>
        <v>18667.849410655701</v>
      </c>
      <c r="I8" s="114">
        <f>C8+F8+G8+H8</f>
        <v>358646.94469182799</v>
      </c>
      <c r="J8" s="81">
        <f t="shared" si="0"/>
        <v>4.242901923134923E-5</v>
      </c>
      <c r="K8" s="52" t="s">
        <v>207</v>
      </c>
      <c r="L8" s="114">
        <f>264108*('2025 IR Data Book'!$A$5)</f>
        <v>264108</v>
      </c>
      <c r="M8" s="114">
        <f>51693*('2025 IR Data Book'!$A$5)</f>
        <v>51693</v>
      </c>
      <c r="N8" s="114">
        <f>17857*('2025 IR Data Book'!$A$5)</f>
        <v>17857</v>
      </c>
      <c r="O8" s="114">
        <f>16690*('2025 IR Data Book'!$A$5)</f>
        <v>16690</v>
      </c>
      <c r="P8" s="114">
        <f>SUM(L8:O8)</f>
        <v>350348</v>
      </c>
    </row>
    <row r="9" spans="1:16" x14ac:dyDescent="0.2">
      <c r="B9" s="53" t="s">
        <v>208</v>
      </c>
      <c r="C9" s="149">
        <f>C8/C7</f>
        <v>0.28450483778349095</v>
      </c>
      <c r="D9" s="149">
        <f>D8/D7</f>
        <v>0.31305857906311085</v>
      </c>
      <c r="E9" s="149">
        <f>E8/E7</f>
        <v>0.23259323619293398</v>
      </c>
      <c r="F9" s="149">
        <f t="shared" ref="F9:I9" si="1">F8/F7</f>
        <v>0.12776774967303345</v>
      </c>
      <c r="G9" s="149">
        <f t="shared" si="1"/>
        <v>0.17241153882206101</v>
      </c>
      <c r="H9" s="149">
        <f t="shared" si="1"/>
        <v>0.62383104493972275</v>
      </c>
      <c r="I9" s="150">
        <f t="shared" si="1"/>
        <v>0.25169386633118634</v>
      </c>
      <c r="J9" s="81">
        <f t="shared" si="0"/>
        <v>-0.26114697747255389</v>
      </c>
      <c r="K9" s="53" t="s">
        <v>208</v>
      </c>
      <c r="L9" s="149">
        <f>L8/L7</f>
        <v>0.34370531784042663</v>
      </c>
      <c r="M9" s="149">
        <f t="shared" ref="M9:P9" si="2">M8/M7</f>
        <v>0.19697306253275859</v>
      </c>
      <c r="N9" s="149">
        <f t="shared" si="2"/>
        <v>0.18788063417455639</v>
      </c>
      <c r="O9" s="149">
        <f t="shared" si="2"/>
        <v>0.64818596592436117</v>
      </c>
      <c r="P9" s="150">
        <f t="shared" si="2"/>
        <v>0.30421550288973176</v>
      </c>
    </row>
    <row r="10" spans="1:16" x14ac:dyDescent="0.2">
      <c r="B10" s="52" t="s">
        <v>259</v>
      </c>
      <c r="C10" s="114">
        <f>'Aramex Courier'!C13</f>
        <v>67793.530503960093</v>
      </c>
      <c r="D10" s="114"/>
      <c r="E10" s="114"/>
      <c r="F10" s="114">
        <f>'Aramex Freight'!C12</f>
        <v>3822.9204956641602</v>
      </c>
      <c r="G10" s="114">
        <f>'Aramex Logistics'!C12</f>
        <v>5702.3992194531002</v>
      </c>
      <c r="H10" s="114">
        <f>2138.62386501166*('2025 IR Data Book'!$A$5)</f>
        <v>2138.6238650116602</v>
      </c>
      <c r="I10" s="114">
        <f>C10+F10+G10+H10</f>
        <v>79457.474084089015</v>
      </c>
      <c r="J10" s="81"/>
      <c r="K10" s="52" t="s">
        <v>259</v>
      </c>
      <c r="L10" s="114">
        <f>67870*('2025 IR Data Book'!$A$5)</f>
        <v>67870</v>
      </c>
      <c r="M10" s="114">
        <f>23017*('2025 IR Data Book'!$A$5)</f>
        <v>23017</v>
      </c>
      <c r="N10" s="114">
        <f>6653*('2025 IR Data Book'!$A$5)</f>
        <v>6653</v>
      </c>
      <c r="O10" s="114">
        <f>1967*('2025 IR Data Book'!$A$5)</f>
        <v>1967</v>
      </c>
      <c r="P10" s="114">
        <f>SUM(L10:O10)</f>
        <v>99507</v>
      </c>
    </row>
    <row r="11" spans="1:16" x14ac:dyDescent="0.2">
      <c r="B11" s="53" t="s">
        <v>211</v>
      </c>
      <c r="C11" s="149">
        <f>C10/C7</f>
        <v>6.7648603647471509E-2</v>
      </c>
      <c r="D11" s="149"/>
      <c r="E11" s="149"/>
      <c r="F11" s="149">
        <f t="shared" ref="F11:I11" si="3">F10/F7</f>
        <v>1.326111023328029E-2</v>
      </c>
      <c r="G11" s="149">
        <f t="shared" si="3"/>
        <v>5.4523677267220079E-2</v>
      </c>
      <c r="H11" s="149">
        <f t="shared" si="3"/>
        <v>7.1467255338031527E-2</v>
      </c>
      <c r="I11" s="150">
        <f t="shared" si="3"/>
        <v>5.5762245174899701E-2</v>
      </c>
      <c r="J11" s="81"/>
      <c r="K11" s="53" t="s">
        <v>211</v>
      </c>
      <c r="L11" s="149">
        <f>L10/L7</f>
        <v>8.8324775931928431E-2</v>
      </c>
      <c r="M11" s="149">
        <f t="shared" ref="M11:P11" si="4">M10/M7</f>
        <v>8.7704891964414999E-2</v>
      </c>
      <c r="N11" s="149">
        <f t="shared" si="4"/>
        <v>6.9998872104122964E-2</v>
      </c>
      <c r="O11" s="149">
        <f t="shared" si="4"/>
        <v>7.6391958955854919E-2</v>
      </c>
      <c r="P11" s="150">
        <f t="shared" si="4"/>
        <v>8.6404295289393793E-2</v>
      </c>
    </row>
    <row r="12" spans="1:16" x14ac:dyDescent="0.2">
      <c r="B12" s="53" t="s">
        <v>212</v>
      </c>
      <c r="C12" s="148">
        <f>'Aramex Courier'!C15</f>
        <v>126971.790482873</v>
      </c>
      <c r="D12" s="148"/>
      <c r="E12" s="148"/>
      <c r="F12" s="148">
        <f>'Aramex Freight'!C14</f>
        <v>11649.503469716999</v>
      </c>
      <c r="G12" s="148">
        <f>'Aramex Logistics'!C14</f>
        <v>25987.4230939523</v>
      </c>
      <c r="H12" s="148">
        <f>5237.50723887273*('2025 IR Data Book'!$A$5)</f>
        <v>5237.5072388727303</v>
      </c>
      <c r="I12" s="114">
        <f>C12+F12+G12+H12</f>
        <v>169846.22428541502</v>
      </c>
      <c r="J12" s="81"/>
      <c r="K12" s="53" t="s">
        <v>212</v>
      </c>
      <c r="L12" s="148">
        <f>122353.985142297*('2025 IR Data Book'!$A$5)</f>
        <v>122353.985142297</v>
      </c>
      <c r="M12" s="148">
        <f>30232.6171423544*('2025 IR Data Book'!$A$5)</f>
        <v>30232.6171423544</v>
      </c>
      <c r="N12" s="148">
        <f>25377.6620862351*('2025 IR Data Book'!$A$5)</f>
        <v>25377.662086235101</v>
      </c>
      <c r="O12" s="148">
        <f>4921.08205567359*('2025 IR Data Book'!$A$5)</f>
        <v>4921.0820556735898</v>
      </c>
      <c r="P12" s="114">
        <f>SUM(L12:O12)</f>
        <v>182885.34642656008</v>
      </c>
    </row>
    <row r="13" spans="1:16" x14ac:dyDescent="0.2">
      <c r="B13" s="115" t="s">
        <v>213</v>
      </c>
      <c r="C13" s="151">
        <f>C12/C7</f>
        <v>0.12670035422161596</v>
      </c>
      <c r="D13" s="151"/>
      <c r="E13" s="151"/>
      <c r="F13" s="151">
        <f t="shared" ref="F13:I13" si="5">F12/F7</f>
        <v>4.0410296225127075E-2</v>
      </c>
      <c r="G13" s="151">
        <f t="shared" si="5"/>
        <v>0.24847959871831818</v>
      </c>
      <c r="H13" s="151">
        <f t="shared" si="5"/>
        <v>0.17502388956707221</v>
      </c>
      <c r="I13" s="151">
        <f t="shared" si="5"/>
        <v>0.11919592096032713</v>
      </c>
      <c r="J13" s="81"/>
      <c r="K13" s="115" t="s">
        <v>213</v>
      </c>
      <c r="L13" s="151">
        <f t="shared" ref="L13" si="6">L12/L7</f>
        <v>0.15922923710139802</v>
      </c>
      <c r="M13" s="151">
        <f t="shared" ref="M13" si="7">M12/M7</f>
        <v>0.11519956641924289</v>
      </c>
      <c r="N13" s="151">
        <f t="shared" ref="N13" si="8">N12/N7</f>
        <v>0.26700852587945606</v>
      </c>
      <c r="O13" s="151">
        <f t="shared" ref="O13:P13" si="9">O12/O7</f>
        <v>0.19111901292090036</v>
      </c>
      <c r="P13" s="151">
        <f t="shared" si="9"/>
        <v>0.1588036969936143</v>
      </c>
    </row>
    <row r="14" spans="1:16" x14ac:dyDescent="0.2">
      <c r="C14" s="116"/>
      <c r="D14" s="116"/>
      <c r="E14" s="116"/>
      <c r="F14" s="116"/>
      <c r="G14" s="116"/>
      <c r="H14" s="116"/>
      <c r="I14" s="116"/>
      <c r="L14" s="116"/>
      <c r="M14" s="116"/>
      <c r="N14" s="116"/>
      <c r="O14" s="116"/>
      <c r="P14" s="116"/>
    </row>
    <row r="15" spans="1:16" x14ac:dyDescent="0.2">
      <c r="C15" s="116"/>
      <c r="D15" s="116"/>
      <c r="E15" s="116"/>
      <c r="F15" s="116"/>
      <c r="G15" s="116"/>
      <c r="H15" s="116"/>
      <c r="I15" s="116"/>
      <c r="L15" s="116"/>
      <c r="M15" s="116"/>
      <c r="N15" s="116"/>
      <c r="O15" s="116"/>
      <c r="P15" s="116"/>
    </row>
    <row r="16" spans="1:16" x14ac:dyDescent="0.2">
      <c r="C16" s="116"/>
      <c r="D16" s="116"/>
      <c r="E16" s="116"/>
      <c r="F16" s="116"/>
      <c r="G16" s="116"/>
      <c r="H16" s="116"/>
      <c r="I16" s="116"/>
      <c r="L16" s="116"/>
      <c r="M16" s="116"/>
      <c r="N16" s="116"/>
      <c r="O16" s="116"/>
      <c r="P16" s="116"/>
    </row>
    <row r="17" spans="2:16" x14ac:dyDescent="0.2">
      <c r="C17" s="116"/>
      <c r="D17" s="116"/>
      <c r="E17" s="116"/>
      <c r="F17" s="116"/>
      <c r="G17" s="116"/>
      <c r="H17" s="116"/>
      <c r="I17" s="116"/>
      <c r="L17" s="116"/>
      <c r="M17" s="116"/>
      <c r="N17" s="116"/>
      <c r="O17" s="116"/>
      <c r="P17" s="116"/>
    </row>
    <row r="18" spans="2:16" x14ac:dyDescent="0.2">
      <c r="B18" s="112"/>
      <c r="C18" s="277" t="s">
        <v>19</v>
      </c>
      <c r="D18" s="277"/>
      <c r="E18" s="277"/>
      <c r="F18" s="277"/>
      <c r="G18" s="277"/>
      <c r="H18" s="277"/>
      <c r="I18" s="277"/>
      <c r="K18" s="112"/>
      <c r="L18" s="277" t="s">
        <v>260</v>
      </c>
      <c r="M18" s="277"/>
      <c r="N18" s="277"/>
      <c r="O18" s="277"/>
      <c r="P18" s="277"/>
    </row>
    <row r="19" spans="2:16" x14ac:dyDescent="0.2">
      <c r="B19" s="112"/>
      <c r="C19" s="124" t="s">
        <v>253</v>
      </c>
      <c r="D19" s="124" t="s">
        <v>254</v>
      </c>
      <c r="E19" s="124" t="s">
        <v>237</v>
      </c>
      <c r="F19" s="124" t="s">
        <v>255</v>
      </c>
      <c r="G19" s="124" t="s">
        <v>256</v>
      </c>
      <c r="H19" s="124" t="s">
        <v>257</v>
      </c>
      <c r="I19" s="124" t="s">
        <v>246</v>
      </c>
      <c r="K19" s="112"/>
      <c r="L19" s="124" t="s">
        <v>253</v>
      </c>
      <c r="M19" s="124" t="s">
        <v>255</v>
      </c>
      <c r="N19" s="124" t="s">
        <v>256</v>
      </c>
      <c r="O19" s="124" t="s">
        <v>257</v>
      </c>
      <c r="P19" s="124" t="s">
        <v>246</v>
      </c>
    </row>
    <row r="20" spans="2:16" x14ac:dyDescent="0.2">
      <c r="B20" s="51" t="s">
        <v>258</v>
      </c>
      <c r="C20" s="113">
        <f>'Aramex Courier'!D7</f>
        <v>1100781.6775668799</v>
      </c>
      <c r="D20" s="113">
        <f>'Aramex Express+Parcel Forwardin'!D7</f>
        <v>733555.71449497202</v>
      </c>
      <c r="E20" s="113">
        <f>'Aramex Domestic'!D7</f>
        <v>367225.96307190601</v>
      </c>
      <c r="F20" s="113">
        <f>'Aramex Freight'!D7</f>
        <v>328594.88728761498</v>
      </c>
      <c r="G20" s="113">
        <f>'Aramex Logistics'!D7</f>
        <v>108808.981524708</v>
      </c>
      <c r="H20" s="113">
        <f>32737.7270639149*('2025 IR Data Book'!$A$5)</f>
        <v>32737.727063914899</v>
      </c>
      <c r="I20" s="113">
        <f>C20+F20+G20+H20</f>
        <v>1570923.2734431177</v>
      </c>
      <c r="J20" s="28">
        <f>C20-D20-E20</f>
        <v>1.862645149230957E-9</v>
      </c>
      <c r="K20" s="51" t="s">
        <v>258</v>
      </c>
      <c r="L20" s="113">
        <f>918423.610580826*('2025 IR Data Book'!$A$5)</f>
        <v>918423.61058082595</v>
      </c>
      <c r="M20" s="113">
        <f>267575.35078716*('2025 IR Data Book'!$A$5)</f>
        <v>267575.35078715999</v>
      </c>
      <c r="N20" s="113">
        <f>85013.8082673105*('2025 IR Data Book'!$A$5)</f>
        <v>85013.808267310495</v>
      </c>
      <c r="O20" s="113">
        <f>22763.1096013526*('2025 IR Data Book'!$A$5)</f>
        <v>22763.1096013526</v>
      </c>
      <c r="P20" s="113">
        <f>SUM(L20:O20)</f>
        <v>1293775.879236649</v>
      </c>
    </row>
    <row r="21" spans="2:16" x14ac:dyDescent="0.2">
      <c r="B21" s="52" t="s">
        <v>207</v>
      </c>
      <c r="C21" s="114">
        <f>'Aramex Courier'!D10</f>
        <v>325301.35163942387</v>
      </c>
      <c r="D21" s="114">
        <f>'Aramex Express+Parcel Forwardin'!D10</f>
        <v>235154.50042451301</v>
      </c>
      <c r="E21" s="114">
        <f>'Aramex Domestic'!D9</f>
        <v>90146.851305414981</v>
      </c>
      <c r="F21" s="114">
        <f>'Aramex Freight'!D9</f>
        <v>33953.349184027989</v>
      </c>
      <c r="G21" s="114">
        <f>'Aramex Logistics'!D9</f>
        <v>6914.8195623350039</v>
      </c>
      <c r="H21" s="114">
        <f>22494.6156898403*('2025 IR Data Book'!$A$5)</f>
        <v>22494.615689840299</v>
      </c>
      <c r="I21" s="114">
        <f>C21+F21+G21+H21</f>
        <v>388664.13607562718</v>
      </c>
      <c r="J21" s="28">
        <f t="shared" ref="J21:J22" si="10">C21-D21-E21</f>
        <v>-9.0504123363643885E-5</v>
      </c>
      <c r="K21" s="52" t="s">
        <v>207</v>
      </c>
      <c r="L21" s="114">
        <f>311978*('2025 IR Data Book'!$A$5)</f>
        <v>311978</v>
      </c>
      <c r="M21" s="114">
        <f>30987*('2025 IR Data Book'!$A$5)</f>
        <v>30987</v>
      </c>
      <c r="N21" s="114">
        <f>11371*('2025 IR Data Book'!$A$5)</f>
        <v>11371</v>
      </c>
      <c r="O21" s="114">
        <f>14079*('2025 IR Data Book'!$A$5)</f>
        <v>14079</v>
      </c>
      <c r="P21" s="114">
        <f>SUM(L21:O21)</f>
        <v>368415</v>
      </c>
    </row>
    <row r="22" spans="2:16" x14ac:dyDescent="0.2">
      <c r="B22" s="53" t="s">
        <v>208</v>
      </c>
      <c r="C22" s="149">
        <f>C21/C20</f>
        <v>0.29551850132394636</v>
      </c>
      <c r="D22" s="149">
        <f t="shared" ref="D22:E22" si="11">D21/D20</f>
        <v>0.32056801654992056</v>
      </c>
      <c r="E22" s="149">
        <f t="shared" si="11"/>
        <v>0.24548060423430207</v>
      </c>
      <c r="F22" s="149">
        <f t="shared" ref="F22:I22" si="12">F21/F20</f>
        <v>0.10332890284537218</v>
      </c>
      <c r="G22" s="149">
        <f t="shared" si="12"/>
        <v>6.3550080751052784E-2</v>
      </c>
      <c r="H22" s="149">
        <f t="shared" si="12"/>
        <v>0.68711598841065991</v>
      </c>
      <c r="I22" s="150">
        <f t="shared" si="12"/>
        <v>0.24741127886135458</v>
      </c>
      <c r="J22" s="28">
        <f t="shared" si="10"/>
        <v>-0.27053011946027627</v>
      </c>
      <c r="K22" s="53" t="s">
        <v>208</v>
      </c>
      <c r="L22" s="149">
        <f>L21/L20</f>
        <v>0.33968856680709686</v>
      </c>
      <c r="M22" s="149">
        <f t="shared" ref="M22:P22" si="13">M21/M20</f>
        <v>0.11580663132400519</v>
      </c>
      <c r="N22" s="149">
        <f t="shared" si="13"/>
        <v>0.13375474210314109</v>
      </c>
      <c r="O22" s="149">
        <f t="shared" si="13"/>
        <v>0.61850073415116424</v>
      </c>
      <c r="P22" s="150">
        <f t="shared" si="13"/>
        <v>0.28475952126837567</v>
      </c>
    </row>
    <row r="23" spans="2:16" x14ac:dyDescent="0.2">
      <c r="B23" s="52" t="s">
        <v>259</v>
      </c>
      <c r="C23" s="114">
        <f>'Aramex Courier'!D13</f>
        <v>104626.763731849</v>
      </c>
      <c r="D23" s="114"/>
      <c r="E23" s="114"/>
      <c r="F23" s="114">
        <f>'Aramex Freight'!D12</f>
        <v>171.814102409621</v>
      </c>
      <c r="G23" s="114">
        <f>'Aramex Logistics'!D12</f>
        <v>-5088.3904884523699</v>
      </c>
      <c r="H23" s="114">
        <f>-159.111807897699*('2025 IR Data Book'!$A$5)</f>
        <v>-159.11180789769901</v>
      </c>
      <c r="I23" s="114">
        <f>C23+F23+G23+H23</f>
        <v>99551.07553790856</v>
      </c>
      <c r="J23" s="28"/>
      <c r="K23" s="52" t="s">
        <v>259</v>
      </c>
      <c r="L23" s="114">
        <f>126244*('2025 IR Data Book'!$A$5)</f>
        <v>126244</v>
      </c>
      <c r="M23" s="114">
        <f>3953*('2025 IR Data Book'!$A$5)</f>
        <v>3953</v>
      </c>
      <c r="N23" s="114">
        <f>1270*('2025 IR Data Book'!$A$5)</f>
        <v>1270</v>
      </c>
      <c r="O23" s="114">
        <f>-4745*('2025 IR Data Book'!$A$5)</f>
        <v>-4745</v>
      </c>
      <c r="P23" s="114">
        <f>SUM(L23:O23)</f>
        <v>126722</v>
      </c>
    </row>
    <row r="24" spans="2:16" x14ac:dyDescent="0.2">
      <c r="B24" s="53" t="s">
        <v>211</v>
      </c>
      <c r="C24" s="149">
        <f>C23/C20</f>
        <v>9.5047697344591953E-2</v>
      </c>
      <c r="D24" s="149"/>
      <c r="E24" s="149"/>
      <c r="F24" s="149">
        <f t="shared" ref="F24:I24" si="14">F23/F20</f>
        <v>5.2287515435148657E-4</v>
      </c>
      <c r="G24" s="149">
        <f t="shared" si="14"/>
        <v>-4.6764434490152031E-2</v>
      </c>
      <c r="H24" s="149">
        <f t="shared" si="14"/>
        <v>-4.860197153793237E-3</v>
      </c>
      <c r="I24" s="150">
        <f t="shared" si="14"/>
        <v>6.3371061604883178E-2</v>
      </c>
      <c r="J24" s="28"/>
      <c r="K24" s="53" t="s">
        <v>211</v>
      </c>
      <c r="L24" s="149">
        <f>L23/L20</f>
        <v>0.13745726758936572</v>
      </c>
      <c r="M24" s="149">
        <f t="shared" ref="M24:P24" si="15">M23/M20</f>
        <v>1.4773408643101706E-2</v>
      </c>
      <c r="N24" s="149">
        <f t="shared" si="15"/>
        <v>1.4938749667662404E-2</v>
      </c>
      <c r="O24" s="149">
        <f t="shared" si="15"/>
        <v>-0.20845130929379035</v>
      </c>
      <c r="P24" s="150">
        <f t="shared" si="15"/>
        <v>9.794741271167326E-2</v>
      </c>
    </row>
    <row r="25" spans="2:16" x14ac:dyDescent="0.2">
      <c r="B25" s="53" t="s">
        <v>212</v>
      </c>
      <c r="C25" s="148">
        <f>'Aramex Courier'!D15</f>
        <v>164433.59567524301</v>
      </c>
      <c r="D25" s="148"/>
      <c r="E25" s="148"/>
      <c r="F25" s="148">
        <f>'Aramex Freight'!D14</f>
        <v>7725.8867375290802</v>
      </c>
      <c r="G25" s="148">
        <f>'Aramex Logistics'!D14</f>
        <v>17185.020126015799</v>
      </c>
      <c r="H25" s="148">
        <f>3366.65007097598*('2025 IR Data Book'!$A$5)</f>
        <v>3366.6500709759798</v>
      </c>
      <c r="I25" s="114">
        <f>C25+F25+G25+H25</f>
        <v>192711.15260976384</v>
      </c>
      <c r="J25" s="28"/>
      <c r="K25" s="53" t="s">
        <v>212</v>
      </c>
      <c r="L25" s="148">
        <f>179449.986513259*('2025 IR Data Book'!$A$5)</f>
        <v>179449.98651325901</v>
      </c>
      <c r="M25" s="148">
        <f>10653.4667073961*('2025 IR Data Book'!$A$5)</f>
        <v>10653.466707396101</v>
      </c>
      <c r="N25" s="148">
        <f>21000.470435179*('2025 IR Data Book'!$A$5)</f>
        <v>21000.470435178999</v>
      </c>
      <c r="O25" s="148">
        <f>-1714.19742397212*('2025 IR Data Book'!$A$5)</f>
        <v>-1714.1974239721201</v>
      </c>
      <c r="P25" s="114">
        <f>SUM(L25:O25)</f>
        <v>209389.72623186198</v>
      </c>
    </row>
    <row r="26" spans="2:16" x14ac:dyDescent="0.2">
      <c r="B26" s="115" t="s">
        <v>213</v>
      </c>
      <c r="C26" s="151">
        <f>C25/C20</f>
        <v>0.14937893592006354</v>
      </c>
      <c r="D26" s="151"/>
      <c r="E26" s="151"/>
      <c r="F26" s="151">
        <f t="shared" ref="F26:I26" si="16">F25/F20</f>
        <v>2.3511889674554518E-2</v>
      </c>
      <c r="G26" s="151">
        <f t="shared" si="16"/>
        <v>0.1579375147640131</v>
      </c>
      <c r="H26" s="151">
        <f t="shared" si="16"/>
        <v>0.10283701322340315</v>
      </c>
      <c r="I26" s="151">
        <f t="shared" si="16"/>
        <v>0.12267381600845689</v>
      </c>
      <c r="J26" s="28"/>
      <c r="K26" s="115" t="s">
        <v>213</v>
      </c>
      <c r="L26" s="151">
        <f>L25/L20</f>
        <v>0.19538912593914254</v>
      </c>
      <c r="M26" s="151">
        <f t="shared" ref="M26:P26" si="17">M25/M20</f>
        <v>3.9814828518604052E-2</v>
      </c>
      <c r="N26" s="151">
        <f t="shared" si="17"/>
        <v>0.24702422892463338</v>
      </c>
      <c r="O26" s="151">
        <f t="shared" si="17"/>
        <v>-7.530594255322047E-2</v>
      </c>
      <c r="P26" s="151">
        <f t="shared" si="17"/>
        <v>0.16184389397907595</v>
      </c>
    </row>
    <row r="27" spans="2:16" x14ac:dyDescent="0.2">
      <c r="C27" s="116"/>
      <c r="D27" s="116"/>
      <c r="E27" s="116"/>
      <c r="F27" s="116"/>
      <c r="G27" s="116"/>
      <c r="H27" s="116"/>
      <c r="I27" s="116"/>
      <c r="L27" s="116"/>
      <c r="M27" s="116"/>
      <c r="N27" s="116"/>
      <c r="O27" s="116"/>
      <c r="P27" s="116"/>
    </row>
    <row r="28" spans="2:16" x14ac:dyDescent="0.2">
      <c r="C28" s="116"/>
      <c r="D28" s="116"/>
      <c r="E28" s="116"/>
      <c r="F28" s="116"/>
      <c r="G28" s="116"/>
      <c r="H28" s="116"/>
      <c r="I28" s="116"/>
      <c r="L28" s="116"/>
      <c r="M28" s="116"/>
      <c r="N28" s="116"/>
      <c r="O28" s="116"/>
      <c r="P28" s="116"/>
    </row>
    <row r="29" spans="2:16" x14ac:dyDescent="0.2">
      <c r="C29" s="116"/>
      <c r="D29" s="116"/>
      <c r="E29" s="116"/>
      <c r="F29" s="116"/>
      <c r="G29" s="116"/>
      <c r="H29" s="116"/>
      <c r="I29" s="116"/>
      <c r="L29" s="116"/>
      <c r="M29" s="116"/>
      <c r="N29" s="116"/>
      <c r="O29" s="116"/>
      <c r="P29" s="116"/>
    </row>
    <row r="31" spans="2:16" x14ac:dyDescent="0.2">
      <c r="B31" s="112"/>
      <c r="C31" s="277" t="s">
        <v>20</v>
      </c>
      <c r="D31" s="277"/>
      <c r="E31" s="277"/>
      <c r="F31" s="277"/>
      <c r="G31" s="277"/>
      <c r="H31" s="277"/>
      <c r="I31" s="277"/>
      <c r="K31" s="112"/>
      <c r="L31" s="277" t="s">
        <v>261</v>
      </c>
      <c r="M31" s="277"/>
      <c r="N31" s="277"/>
      <c r="O31" s="277"/>
      <c r="P31" s="277"/>
    </row>
    <row r="32" spans="2:16" x14ac:dyDescent="0.2">
      <c r="B32" s="112"/>
      <c r="C32" s="124" t="s">
        <v>253</v>
      </c>
      <c r="D32" s="124" t="s">
        <v>254</v>
      </c>
      <c r="E32" s="124" t="s">
        <v>237</v>
      </c>
      <c r="F32" s="124" t="s">
        <v>255</v>
      </c>
      <c r="G32" s="124" t="s">
        <v>256</v>
      </c>
      <c r="H32" s="124" t="s">
        <v>257</v>
      </c>
      <c r="I32" s="124" t="s">
        <v>246</v>
      </c>
      <c r="K32" s="112"/>
      <c r="L32" s="124" t="s">
        <v>253</v>
      </c>
      <c r="M32" s="124" t="s">
        <v>255</v>
      </c>
      <c r="N32" s="124" t="s">
        <v>256</v>
      </c>
      <c r="O32" s="124" t="s">
        <v>257</v>
      </c>
      <c r="P32" s="124" t="s">
        <v>246</v>
      </c>
    </row>
    <row r="33" spans="2:18" x14ac:dyDescent="0.2">
      <c r="B33" s="51" t="s">
        <v>258</v>
      </c>
      <c r="C33" s="113">
        <f>'Aramex Courier'!E7</f>
        <v>1069651.7573773901</v>
      </c>
      <c r="D33" s="113">
        <f>'Aramex Express+Parcel Forwardin'!E7</f>
        <v>608876.82608421403</v>
      </c>
      <c r="E33" s="113">
        <f>'Aramex Domestic'!E7</f>
        <v>460774.931293178</v>
      </c>
      <c r="F33" s="113">
        <f>'Aramex Freight'!E7</f>
        <v>317999.95602937101</v>
      </c>
      <c r="G33" s="113">
        <f>'Aramex Logistics'!E7</f>
        <v>108445.010175879</v>
      </c>
      <c r="H33" s="113">
        <f>-34692.5657379868*('2025 IR Data Book'!$A$5)</f>
        <v>-34692.565737986799</v>
      </c>
      <c r="I33" s="113">
        <f>C33+F33+G33+H33</f>
        <v>1461404.1578446536</v>
      </c>
      <c r="J33" s="81"/>
      <c r="K33" s="51" t="s">
        <v>258</v>
      </c>
      <c r="L33" s="113">
        <f>1065472.5562529*('2025 IR Data Book'!$A$5)</f>
        <v>1065472.5562529</v>
      </c>
      <c r="M33" s="113">
        <f>274871.806204384*('2025 IR Data Book'!$A$5)</f>
        <v>274871.80620438402</v>
      </c>
      <c r="N33" s="113">
        <f>94045.7817679466*('2025 IR Data Book'!$A$5)</f>
        <v>94045.781767946595</v>
      </c>
      <c r="O33" s="113">
        <f>32143.5876797614*('2025 IR Data Book'!$A$5)</f>
        <v>32143.5876797614</v>
      </c>
      <c r="P33" s="113">
        <f>SUM(L33:O33)</f>
        <v>1466533.7319049921</v>
      </c>
    </row>
    <row r="34" spans="2:18" x14ac:dyDescent="0.2">
      <c r="B34" s="52" t="s">
        <v>207</v>
      </c>
      <c r="C34" s="114">
        <f>'Aramex Courier'!E10</f>
        <v>322138.39376853104</v>
      </c>
      <c r="D34" s="114">
        <f>'Aramex Express+Parcel Forwardin'!E10</f>
        <v>194821.68068260903</v>
      </c>
      <c r="E34" s="114">
        <f>'Aramex Domestic'!E9</f>
        <v>127313.11244067497</v>
      </c>
      <c r="F34" s="114">
        <f>'Aramex Freight'!E9</f>
        <v>38210.717516395031</v>
      </c>
      <c r="G34" s="114">
        <f>'Aramex Logistics'!E9</f>
        <v>13667.8106856214</v>
      </c>
      <c r="H34" s="114">
        <f>-17937.2596997755*('2025 IR Data Book'!$A$5)</f>
        <v>-17937.259699775499</v>
      </c>
      <c r="I34" s="114">
        <f>C34+F34+G34+H34</f>
        <v>356079.66227077198</v>
      </c>
      <c r="J34" s="81"/>
      <c r="K34" s="52" t="s">
        <v>207</v>
      </c>
      <c r="L34" s="114">
        <f>343301*('2025 IR Data Book'!$A$5)</f>
        <v>343301</v>
      </c>
      <c r="M34" s="114">
        <f>33865*('2025 IR Data Book'!$A$5)</f>
        <v>33865</v>
      </c>
      <c r="N34" s="114">
        <f>11665*('2025 IR Data Book'!$A$5)</f>
        <v>11665</v>
      </c>
      <c r="O34" s="114">
        <f>19225*('2025 IR Data Book'!$A$5)</f>
        <v>19225</v>
      </c>
      <c r="P34" s="114">
        <f>SUM(L34:O34)</f>
        <v>408056</v>
      </c>
    </row>
    <row r="35" spans="2:18" x14ac:dyDescent="0.2">
      <c r="B35" s="53" t="s">
        <v>208</v>
      </c>
      <c r="C35" s="149">
        <f>C34/C33</f>
        <v>0.3011619356923802</v>
      </c>
      <c r="D35" s="149">
        <f t="shared" ref="D35:E35" si="18">D34/D33</f>
        <v>0.31996895322086566</v>
      </c>
      <c r="E35" s="149">
        <f t="shared" si="18"/>
        <v>0.27630216792256274</v>
      </c>
      <c r="F35" s="149">
        <f t="shared" ref="F35:I35" si="19">F34/F33</f>
        <v>0.12015950566001281</v>
      </c>
      <c r="G35" s="149">
        <f t="shared" si="19"/>
        <v>0.12603448202415751</v>
      </c>
      <c r="H35" s="149">
        <f t="shared" si="19"/>
        <v>0.51703468216347592</v>
      </c>
      <c r="I35" s="150">
        <f t="shared" si="19"/>
        <v>0.24365584315562283</v>
      </c>
      <c r="J35" s="81"/>
      <c r="K35" s="53" t="s">
        <v>208</v>
      </c>
      <c r="L35" s="149">
        <f>L34/L33</f>
        <v>0.32220538951029937</v>
      </c>
      <c r="M35" s="149">
        <f t="shared" ref="M35:P35" si="20">M34/M33</f>
        <v>0.12320288671155782</v>
      </c>
      <c r="N35" s="149">
        <f t="shared" si="20"/>
        <v>0.12403533450104995</v>
      </c>
      <c r="O35" s="149">
        <f t="shared" si="20"/>
        <v>0.59809751766149788</v>
      </c>
      <c r="P35" s="150">
        <f t="shared" si="20"/>
        <v>0.27824521940586056</v>
      </c>
    </row>
    <row r="36" spans="2:18" x14ac:dyDescent="0.2">
      <c r="B36" s="53" t="s">
        <v>259</v>
      </c>
      <c r="C36" s="114">
        <f>'Aramex Courier'!E13</f>
        <v>42423.431960645299</v>
      </c>
      <c r="D36" s="114"/>
      <c r="E36" s="114"/>
      <c r="F36" s="114">
        <f>'Aramex Freight'!E12</f>
        <v>5640.0708204513503</v>
      </c>
      <c r="G36" s="114">
        <f>'Aramex Logistics'!E12</f>
        <v>5816.40331765882</v>
      </c>
      <c r="H36" s="114">
        <f>14139.974323889*('2025 IR Data Book'!$A$5)</f>
        <v>14139.974323889001</v>
      </c>
      <c r="I36" s="114">
        <f>C36+F36+G36+H36</f>
        <v>68019.880422644463</v>
      </c>
      <c r="J36" s="81"/>
      <c r="K36" s="53" t="s">
        <v>259</v>
      </c>
      <c r="L36" s="114">
        <f>135940*('2025 IR Data Book'!$A$5)</f>
        <v>135940</v>
      </c>
      <c r="M36" s="114">
        <f>3055*('2025 IR Data Book'!$A$5)</f>
        <v>3055</v>
      </c>
      <c r="N36" s="114">
        <f>-53234*('2025 IR Data Book'!$A$5)</f>
        <v>-53234</v>
      </c>
      <c r="O36" s="114">
        <f>-1607*('2025 IR Data Book'!$A$5)</f>
        <v>-1607</v>
      </c>
      <c r="P36" s="114">
        <f>SUM(L36:O36)</f>
        <v>84154</v>
      </c>
    </row>
    <row r="37" spans="2:18" x14ac:dyDescent="0.2">
      <c r="B37" s="53" t="s">
        <v>211</v>
      </c>
      <c r="C37" s="149">
        <f>C36/C33</f>
        <v>3.9660975329634918E-2</v>
      </c>
      <c r="D37" s="149"/>
      <c r="E37" s="149"/>
      <c r="F37" s="149">
        <f t="shared" ref="F37:I37" si="21">F36/F33</f>
        <v>1.7736074214835501E-2</v>
      </c>
      <c r="G37" s="149">
        <f t="shared" si="21"/>
        <v>5.3634586858589649E-2</v>
      </c>
      <c r="H37" s="149">
        <f t="shared" si="21"/>
        <v>-0.40757937682327039</v>
      </c>
      <c r="I37" s="150">
        <f t="shared" si="21"/>
        <v>4.6544195223149856E-2</v>
      </c>
      <c r="J37" s="81"/>
      <c r="K37" s="53" t="s">
        <v>211</v>
      </c>
      <c r="L37" s="149">
        <f>L36/L33</f>
        <v>0.12758658043533253</v>
      </c>
      <c r="M37" s="149">
        <f t="shared" ref="M37:P37" si="22">M36/M33</f>
        <v>1.1114271929833431E-2</v>
      </c>
      <c r="N37" s="149">
        <f t="shared" si="22"/>
        <v>-0.56604346308005937</v>
      </c>
      <c r="O37" s="149">
        <f t="shared" si="22"/>
        <v>-4.9994419291652908E-2</v>
      </c>
      <c r="P37" s="150">
        <f t="shared" si="22"/>
        <v>5.7382928308567421E-2</v>
      </c>
    </row>
    <row r="38" spans="2:18" x14ac:dyDescent="0.2">
      <c r="B38" s="53" t="s">
        <v>212</v>
      </c>
      <c r="C38" s="148">
        <f>'Aramex Courier'!E15</f>
        <v>113372.50878968</v>
      </c>
      <c r="D38" s="148"/>
      <c r="E38" s="148"/>
      <c r="F38" s="148">
        <f>'Aramex Freight'!E14</f>
        <v>12316.841770576601</v>
      </c>
      <c r="G38" s="148">
        <f>'Aramex Logistics'!E14</f>
        <v>28918.980227547901</v>
      </c>
      <c r="H38" s="148">
        <f>8523.57514388524*('2025 IR Data Book'!$A$5)</f>
        <v>8523.5751438852403</v>
      </c>
      <c r="I38" s="114">
        <f>C38+F38+G38+H38</f>
        <v>163131.90593168975</v>
      </c>
      <c r="J38" s="81"/>
      <c r="K38" s="53" t="s">
        <v>212</v>
      </c>
      <c r="L38" s="148">
        <f>190817.974518227*('2025 IR Data Book'!$A$5)</f>
        <v>190817.97451822701</v>
      </c>
      <c r="M38" s="148">
        <f>8915.85774876994*('2025 IR Data Book'!$A$5)</f>
        <v>8915.8577487699404</v>
      </c>
      <c r="N38" s="148">
        <f>-32546.2048357356*('2025 IR Data Book'!$A$5)</f>
        <v>-32546.2048357356</v>
      </c>
      <c r="O38" s="148">
        <f>2291.72712826686*('2025 IR Data Book'!$A$5)</f>
        <v>2291.7271282668598</v>
      </c>
      <c r="P38" s="114">
        <f>SUM(L38:O38)</f>
        <v>169479.3545595282</v>
      </c>
    </row>
    <row r="39" spans="2:18" x14ac:dyDescent="0.2">
      <c r="B39" s="115" t="s">
        <v>213</v>
      </c>
      <c r="C39" s="151">
        <f>C38/C33</f>
        <v>0.10599011127476733</v>
      </c>
      <c r="D39" s="151"/>
      <c r="E39" s="151"/>
      <c r="F39" s="151">
        <f t="shared" ref="F39:I39" si="23">F38/F33</f>
        <v>3.873221218130922E-2</v>
      </c>
      <c r="G39" s="151">
        <f t="shared" si="23"/>
        <v>0.26666953307161234</v>
      </c>
      <c r="H39" s="151">
        <f t="shared" si="23"/>
        <v>-0.24568880861274289</v>
      </c>
      <c r="I39" s="151">
        <f t="shared" si="23"/>
        <v>0.11162682482872105</v>
      </c>
      <c r="J39" s="81"/>
      <c r="K39" s="115" t="s">
        <v>213</v>
      </c>
      <c r="L39" s="151">
        <f>L38/L33</f>
        <v>0.17909234113856853</v>
      </c>
      <c r="M39" s="151">
        <f t="shared" ref="M39:P39" si="24">M38/M33</f>
        <v>3.2436421442730484E-2</v>
      </c>
      <c r="N39" s="151">
        <f t="shared" si="24"/>
        <v>-0.34606767282813156</v>
      </c>
      <c r="O39" s="151">
        <f t="shared" si="24"/>
        <v>7.129655690891662E-2</v>
      </c>
      <c r="P39" s="151">
        <f t="shared" si="24"/>
        <v>0.1155645798473238</v>
      </c>
    </row>
    <row r="42" spans="2:18" x14ac:dyDescent="0.2">
      <c r="B42" s="112"/>
      <c r="C42" s="277" t="s">
        <v>21</v>
      </c>
      <c r="D42" s="277"/>
      <c r="E42" s="277"/>
      <c r="F42" s="277"/>
      <c r="G42" s="277"/>
      <c r="H42" s="277"/>
      <c r="I42" s="277"/>
      <c r="K42" s="112"/>
      <c r="L42" s="277" t="s">
        <v>262</v>
      </c>
      <c r="M42" s="277"/>
      <c r="N42" s="277"/>
      <c r="O42" s="277"/>
      <c r="P42" s="277"/>
    </row>
    <row r="43" spans="2:18" x14ac:dyDescent="0.2">
      <c r="B43" s="112"/>
      <c r="C43" s="124" t="s">
        <v>253</v>
      </c>
      <c r="D43" s="124" t="s">
        <v>254</v>
      </c>
      <c r="E43" s="124" t="s">
        <v>237</v>
      </c>
      <c r="F43" s="124" t="s">
        <v>255</v>
      </c>
      <c r="G43" s="124" t="s">
        <v>256</v>
      </c>
      <c r="H43" s="124" t="s">
        <v>257</v>
      </c>
      <c r="I43" s="124" t="s">
        <v>246</v>
      </c>
      <c r="K43" s="112"/>
      <c r="L43" s="124" t="s">
        <v>253</v>
      </c>
      <c r="M43" s="124" t="s">
        <v>255</v>
      </c>
      <c r="N43" s="124" t="s">
        <v>256</v>
      </c>
      <c r="O43" s="124" t="s">
        <v>257</v>
      </c>
      <c r="P43" s="124" t="s">
        <v>246</v>
      </c>
    </row>
    <row r="44" spans="2:18" x14ac:dyDescent="0.2">
      <c r="B44" s="51" t="s">
        <v>258</v>
      </c>
      <c r="C44" s="113">
        <f>'Aramex Courier'!F7</f>
        <v>1097153.7767290201</v>
      </c>
      <c r="D44" s="113">
        <f>'Aramex Express+Parcel Forwardin'!F7</f>
        <v>673196.55890311801</v>
      </c>
      <c r="E44" s="113">
        <f>'Aramex Domestic'!F7</f>
        <v>423957.21782590501</v>
      </c>
      <c r="F44" s="113">
        <f>'Aramex Freight'!F7</f>
        <v>390676.02399267798</v>
      </c>
      <c r="G44" s="113">
        <f>'Aramex Logistics'!F7</f>
        <v>113016.407797778</v>
      </c>
      <c r="H44" s="113">
        <f>10698.3087688035*('2025 IR Data Book'!$A$5)</f>
        <v>10698.308768803499</v>
      </c>
      <c r="I44" s="114">
        <f>C44+F44+G44+H44</f>
        <v>1611544.5172882795</v>
      </c>
      <c r="J44" s="81"/>
      <c r="K44" s="51" t="s">
        <v>258</v>
      </c>
      <c r="L44" s="113">
        <f>1183088.24381891*('2025 IR Data Book'!$A$5)</f>
        <v>1183088.2438189101</v>
      </c>
      <c r="M44" s="113">
        <f>279847.239544934*('2025 IR Data Book'!$A$5)</f>
        <v>279847.23954493401</v>
      </c>
      <c r="N44" s="113">
        <f>100758.250635899*('2025 IR Data Book'!$A$5)</f>
        <v>100758.25063589901</v>
      </c>
      <c r="O44" s="113">
        <f>34652.0164646013*('2025 IR Data Book'!$A$5)</f>
        <v>34652.0164646013</v>
      </c>
      <c r="P44" s="113">
        <f>SUM(L44:O44)</f>
        <v>1598345.7504643442</v>
      </c>
      <c r="R44" s="28"/>
    </row>
    <row r="45" spans="2:18" x14ac:dyDescent="0.2">
      <c r="B45" s="52" t="s">
        <v>207</v>
      </c>
      <c r="C45" s="114">
        <f>'Aramex Courier'!F10</f>
        <v>269493.63650467503</v>
      </c>
      <c r="D45" s="114">
        <f>'Aramex Express+Parcel Forwardin'!F10</f>
        <v>184538.38588846102</v>
      </c>
      <c r="E45" s="114">
        <f>'Aramex Domestic'!F9</f>
        <v>84958.785984446004</v>
      </c>
      <c r="F45" s="114">
        <f>'Aramex Freight'!F9</f>
        <v>44878.361750983982</v>
      </c>
      <c r="G45" s="114">
        <f>'Aramex Logistics'!F9</f>
        <v>3862.8263412959932</v>
      </c>
      <c r="H45" s="114">
        <f>9242.01243149337*('2025 IR Data Book'!$A$5)</f>
        <v>9242.0124314933691</v>
      </c>
      <c r="I45" s="114">
        <f>C45+F45+G45+H45</f>
        <v>327476.83702844835</v>
      </c>
      <c r="J45" s="81"/>
      <c r="K45" s="52" t="s">
        <v>207</v>
      </c>
      <c r="L45" s="114">
        <f>354414*('2025 IR Data Book'!$A$5)</f>
        <v>354414</v>
      </c>
      <c r="M45" s="114">
        <f>18812*('2025 IR Data Book'!$A$5)</f>
        <v>18812</v>
      </c>
      <c r="N45" s="114">
        <f>9009.99999999999*('2025 IR Data Book'!$A$5)</f>
        <v>9009.9999999999909</v>
      </c>
      <c r="O45" s="114">
        <f>24736*('2025 IR Data Book'!$A$5)</f>
        <v>24736</v>
      </c>
      <c r="P45" s="114">
        <f>SUM(L45:O45)</f>
        <v>406972</v>
      </c>
      <c r="R45" s="28"/>
    </row>
    <row r="46" spans="2:18" x14ac:dyDescent="0.2">
      <c r="B46" s="53" t="s">
        <v>208</v>
      </c>
      <c r="C46" s="149">
        <f>C45/C44</f>
        <v>0.24562977608127559</v>
      </c>
      <c r="D46" s="149">
        <f t="shared" ref="D46:E46" si="25">D45/D44</f>
        <v>0.27412259235124603</v>
      </c>
      <c r="E46" s="149">
        <f t="shared" si="25"/>
        <v>0.20039471534444714</v>
      </c>
      <c r="F46" s="149">
        <f t="shared" ref="F46:I46" si="26">F45/F44</f>
        <v>0.11487360112947471</v>
      </c>
      <c r="G46" s="149">
        <f t="shared" si="26"/>
        <v>3.4179341005138017E-2</v>
      </c>
      <c r="H46" s="149">
        <f t="shared" si="26"/>
        <v>0.86387602295077504</v>
      </c>
      <c r="I46" s="150">
        <f t="shared" si="26"/>
        <v>0.20320682023695408</v>
      </c>
      <c r="J46" s="81"/>
      <c r="K46" s="53" t="s">
        <v>208</v>
      </c>
      <c r="L46" s="149">
        <f t="shared" ref="L46" si="27">L45/L44</f>
        <v>0.29956683438589599</v>
      </c>
      <c r="M46" s="149">
        <f t="shared" ref="M46" si="28">M45/M44</f>
        <v>6.7222389009770553E-2</v>
      </c>
      <c r="N46" s="149">
        <f t="shared" ref="N46" si="29">N45/N44</f>
        <v>8.9421957439084709E-2</v>
      </c>
      <c r="O46" s="149">
        <f t="shared" ref="O46" si="30">O45/O44</f>
        <v>0.71384013179345607</v>
      </c>
      <c r="P46" s="150">
        <f t="shared" ref="P46" si="31">P45/P44</f>
        <v>0.25462075391495759</v>
      </c>
    </row>
    <row r="47" spans="2:18" x14ac:dyDescent="0.2">
      <c r="B47" s="53" t="s">
        <v>259</v>
      </c>
      <c r="C47" s="114">
        <f>'Aramex Courier'!F13</f>
        <v>37379.977670022097</v>
      </c>
      <c r="D47" s="114"/>
      <c r="E47" s="114"/>
      <c r="F47" s="114">
        <f>'Aramex Freight'!F12</f>
        <v>4136.80991535253</v>
      </c>
      <c r="G47" s="114">
        <f>'Aramex Logistics'!F12</f>
        <v>15858.7549284546</v>
      </c>
      <c r="H47" s="114">
        <f>1272.02172689161*('2025 IR Data Book'!$A$5)</f>
        <v>1272.0217268916099</v>
      </c>
      <c r="I47" s="114">
        <f>C47+F47+G47+H47</f>
        <v>58647.564240720843</v>
      </c>
      <c r="K47" s="53" t="s">
        <v>259</v>
      </c>
      <c r="L47" s="114">
        <f>127651*('2025 IR Data Book'!$A$5)</f>
        <v>127651</v>
      </c>
      <c r="M47" s="114">
        <f>-13506*('2025 IR Data Book'!$A$5)</f>
        <v>-13506</v>
      </c>
      <c r="N47" s="114">
        <f>-39394*('2025 IR Data Book'!$A$5)</f>
        <v>-39394</v>
      </c>
      <c r="O47" s="114">
        <f>14414*('2025 IR Data Book'!$A$5)</f>
        <v>14414</v>
      </c>
      <c r="P47" s="114">
        <f>SUM(L47:O47)</f>
        <v>89165</v>
      </c>
      <c r="R47" s="28"/>
    </row>
    <row r="48" spans="2:18" x14ac:dyDescent="0.2">
      <c r="B48" s="53" t="s">
        <v>211</v>
      </c>
      <c r="C48" s="149">
        <f>C47/C44</f>
        <v>3.4069953057505056E-2</v>
      </c>
      <c r="D48" s="149"/>
      <c r="E48" s="149"/>
      <c r="F48" s="149">
        <f t="shared" ref="F48:I48" si="32">F47/F44</f>
        <v>1.0588850252633016E-2</v>
      </c>
      <c r="G48" s="149">
        <f t="shared" si="32"/>
        <v>0.14032258888311966</v>
      </c>
      <c r="H48" s="149">
        <f t="shared" si="32"/>
        <v>0.11889932833130157</v>
      </c>
      <c r="I48" s="150">
        <f t="shared" si="32"/>
        <v>3.6392146547342158E-2</v>
      </c>
      <c r="K48" s="53" t="s">
        <v>211</v>
      </c>
      <c r="L48" s="149">
        <f>L47/L44</f>
        <v>0.10789643178935937</v>
      </c>
      <c r="M48" s="149">
        <f t="shared" ref="M48:P48" si="33">M47/M44</f>
        <v>-4.8262044756855256E-2</v>
      </c>
      <c r="N48" s="149">
        <f t="shared" si="33"/>
        <v>-0.39097542634354127</v>
      </c>
      <c r="O48" s="149">
        <f t="shared" si="33"/>
        <v>0.41596424885474109</v>
      </c>
      <c r="P48" s="150">
        <f t="shared" si="33"/>
        <v>5.5785802273441897E-2</v>
      </c>
    </row>
    <row r="49" spans="2:18" x14ac:dyDescent="0.2">
      <c r="B49" s="53" t="s">
        <v>212</v>
      </c>
      <c r="C49" s="148">
        <f>'Aramex Courier'!F15</f>
        <v>97527.451549181307</v>
      </c>
      <c r="D49" s="148"/>
      <c r="E49" s="148"/>
      <c r="F49" s="148">
        <f>'Aramex Freight'!F14</f>
        <v>11482.270739020199</v>
      </c>
      <c r="G49" s="148">
        <f>'Aramex Logistics'!F14</f>
        <v>38201.4024157444</v>
      </c>
      <c r="H49" s="148">
        <f>2438.17697022321*('2025 IR Data Book'!$A$5)</f>
        <v>2438.17697022321</v>
      </c>
      <c r="I49" s="114">
        <f>C49+F49+G49+H49</f>
        <v>149649.30167416911</v>
      </c>
      <c r="K49" s="53" t="s">
        <v>212</v>
      </c>
      <c r="L49" s="148">
        <f>185007.379428629*('2025 IR Data Book'!$A$5)</f>
        <v>185007.37942862901</v>
      </c>
      <c r="M49" s="148">
        <f>1935.44186111497*('2025 IR Data Book'!$A$5)</f>
        <v>1935.4418611149699</v>
      </c>
      <c r="N49" s="148">
        <f>-18868.2903895795*('2025 IR Data Book'!$A$5)</f>
        <v>-18868.290389579499</v>
      </c>
      <c r="O49" s="148">
        <f>11528.0646359834*('2025 IR Data Book'!$A$5)</f>
        <v>11528.064635983401</v>
      </c>
      <c r="P49" s="114">
        <f>SUM(L49:O49)</f>
        <v>179602.59553614788</v>
      </c>
      <c r="R49" s="28"/>
    </row>
    <row r="50" spans="2:18" x14ac:dyDescent="0.2">
      <c r="B50" s="115" t="s">
        <v>213</v>
      </c>
      <c r="C50" s="151">
        <f>C49/C44</f>
        <v>8.8891323730337091E-2</v>
      </c>
      <c r="D50" s="151"/>
      <c r="E50" s="151"/>
      <c r="F50" s="151">
        <f t="shared" ref="F50:I50" si="34">F49/F44</f>
        <v>2.9390774027216474E-2</v>
      </c>
      <c r="G50" s="151">
        <f t="shared" si="34"/>
        <v>0.33801642752704331</v>
      </c>
      <c r="H50" s="151">
        <f t="shared" si="34"/>
        <v>0.22790302868552337</v>
      </c>
      <c r="I50" s="151">
        <f t="shared" si="34"/>
        <v>9.2860792903184344E-2</v>
      </c>
      <c r="K50" s="115" t="s">
        <v>213</v>
      </c>
      <c r="L50" s="151">
        <f t="shared" ref="L50:P50" si="35">L49/L44</f>
        <v>0.15637665270972573</v>
      </c>
      <c r="M50" s="151">
        <f t="shared" si="35"/>
        <v>6.9160655801437819E-3</v>
      </c>
      <c r="N50" s="151">
        <f t="shared" si="35"/>
        <v>-0.18726298115041851</v>
      </c>
      <c r="O50" s="151">
        <f t="shared" si="35"/>
        <v>0.33268091765337443</v>
      </c>
      <c r="P50" s="151">
        <f t="shared" si="35"/>
        <v>0.11236779994814673</v>
      </c>
    </row>
    <row r="53" spans="2:18" x14ac:dyDescent="0.2">
      <c r="B53" s="112"/>
      <c r="C53" s="277" t="s">
        <v>23</v>
      </c>
      <c r="D53" s="277"/>
      <c r="E53" s="277"/>
      <c r="F53" s="277"/>
      <c r="G53" s="277"/>
      <c r="H53" s="277"/>
      <c r="I53" s="277"/>
    </row>
    <row r="54" spans="2:18" x14ac:dyDescent="0.2">
      <c r="B54" s="112"/>
      <c r="C54" s="124" t="s">
        <v>253</v>
      </c>
      <c r="D54" s="124" t="s">
        <v>254</v>
      </c>
      <c r="E54" s="124" t="s">
        <v>237</v>
      </c>
      <c r="F54" s="124" t="s">
        <v>255</v>
      </c>
      <c r="G54" s="124" t="s">
        <v>256</v>
      </c>
      <c r="H54" s="124" t="s">
        <v>257</v>
      </c>
      <c r="I54" s="124" t="s">
        <v>246</v>
      </c>
      <c r="K54" s="28"/>
    </row>
    <row r="55" spans="2:18" x14ac:dyDescent="0.2">
      <c r="B55" s="51" t="s">
        <v>258</v>
      </c>
      <c r="C55" s="113">
        <f>'Aramex Courier'!H7</f>
        <v>935616.88600000006</v>
      </c>
      <c r="D55" s="113">
        <f>'Aramex Express+Parcel Forwardin'!H7</f>
        <v>558977.06519999995</v>
      </c>
      <c r="E55" s="113">
        <f>'Aramex Domestic'!H7</f>
        <v>376640.582563042</v>
      </c>
      <c r="F55" s="113">
        <f>'Aramex Freight'!H7</f>
        <v>391132.66692934901</v>
      </c>
      <c r="G55" s="113">
        <f>'Aramex Logistics'!H7</f>
        <v>112105.259668336</v>
      </c>
      <c r="H55" s="113">
        <f>10076.8732277094*('2025 IR Data Book'!$A$5)</f>
        <v>10076.8732277094</v>
      </c>
      <c r="I55" s="113">
        <f>C55+F55+G55+H55</f>
        <v>1448931.6858253945</v>
      </c>
      <c r="J55" s="202"/>
      <c r="K55" s="28"/>
    </row>
    <row r="56" spans="2:18" x14ac:dyDescent="0.2">
      <c r="B56" s="52" t="s">
        <v>207</v>
      </c>
      <c r="C56" s="114">
        <f>'Aramex Courier'!H10</f>
        <v>270548.52949179406</v>
      </c>
      <c r="D56" s="114">
        <f>'Aramex Express+Parcel Forwardin'!H10</f>
        <v>177782.78670763294</v>
      </c>
      <c r="E56" s="114">
        <f>'Aramex Domestic'!H9</f>
        <v>92766.504547203018</v>
      </c>
      <c r="F56" s="114">
        <f>'Aramex Freight'!H9</f>
        <v>52053.268986952025</v>
      </c>
      <c r="G56" s="114">
        <f>'Aramex Logistics'!H9</f>
        <v>13171.293797982697</v>
      </c>
      <c r="H56" s="114">
        <f>8326.98518949769*('2025 IR Data Book'!$A$5)</f>
        <v>8326.9851894976891</v>
      </c>
      <c r="I56" s="114">
        <f>C56+F56+G56+H56</f>
        <v>344100.07746622647</v>
      </c>
      <c r="J56" s="202"/>
    </row>
    <row r="57" spans="2:18" x14ac:dyDescent="0.2">
      <c r="B57" s="53" t="s">
        <v>208</v>
      </c>
      <c r="C57" s="149">
        <f>C56/C55</f>
        <v>0.28916593270185381</v>
      </c>
      <c r="D57" s="149">
        <f t="shared" ref="D57:E57" si="36">D56/D55</f>
        <v>0.31805023457272419</v>
      </c>
      <c r="E57" s="149">
        <f t="shared" si="36"/>
        <v>0.24629981165578668</v>
      </c>
      <c r="F57" s="149">
        <f t="shared" ref="F57:I57" si="37">F56/F55</f>
        <v>0.13308340976887645</v>
      </c>
      <c r="G57" s="149">
        <f t="shared" si="37"/>
        <v>0.11749041781759427</v>
      </c>
      <c r="H57" s="149">
        <f t="shared" si="37"/>
        <v>0.82634612953154296</v>
      </c>
      <c r="I57" s="150">
        <f t="shared" si="37"/>
        <v>0.237485369967741</v>
      </c>
      <c r="J57" s="202"/>
    </row>
    <row r="58" spans="2:18" x14ac:dyDescent="0.2">
      <c r="B58" s="53" t="s">
        <v>259</v>
      </c>
      <c r="C58" s="114">
        <f>'Aramex Courier'!H13</f>
        <v>51221.864021734997</v>
      </c>
      <c r="D58" s="114"/>
      <c r="E58" s="114"/>
      <c r="F58" s="114">
        <f>'Aramex Freight'!H12</f>
        <v>14772.946933642899</v>
      </c>
      <c r="G58" s="114">
        <f>'Aramex Logistics'!H12</f>
        <v>5792.2531164913198</v>
      </c>
      <c r="H58" s="114">
        <f>3217.0725461928*('2025 IR Data Book'!$A$5)</f>
        <v>3217.0725461928</v>
      </c>
      <c r="I58" s="114">
        <f>C58+F58+G58+H58</f>
        <v>75004.13661806201</v>
      </c>
      <c r="J58" s="202"/>
    </row>
    <row r="59" spans="2:18" x14ac:dyDescent="0.2">
      <c r="B59" s="53" t="s">
        <v>211</v>
      </c>
      <c r="C59" s="149">
        <f>C58/C55</f>
        <v>5.4746622028939089E-2</v>
      </c>
      <c r="D59" s="149"/>
      <c r="E59" s="149"/>
      <c r="F59" s="149">
        <f t="shared" ref="F59:I59" si="38">F58/F55</f>
        <v>3.7769657670427621E-2</v>
      </c>
      <c r="G59" s="149">
        <f t="shared" si="38"/>
        <v>5.1667987154462969E-2</v>
      </c>
      <c r="H59" s="149">
        <f t="shared" si="38"/>
        <v>0.31925305335255078</v>
      </c>
      <c r="I59" s="150">
        <f t="shared" si="38"/>
        <v>5.1765129682656751E-2</v>
      </c>
      <c r="J59" s="202"/>
    </row>
    <row r="60" spans="2:18" x14ac:dyDescent="0.2">
      <c r="B60" s="53" t="s">
        <v>212</v>
      </c>
      <c r="C60" s="148">
        <f>'Aramex Courier'!H15</f>
        <v>113734.68017132601</v>
      </c>
      <c r="D60" s="148"/>
      <c r="E60" s="148"/>
      <c r="F60" s="148">
        <f>'Aramex Freight'!H14</f>
        <v>21659.145108213001</v>
      </c>
      <c r="G60" s="148">
        <f>'Aramex Logistics'!H14</f>
        <v>28762.002938327601</v>
      </c>
      <c r="H60" s="148">
        <f>4514.08635286607*('2025 IR Data Book'!$A$5)</f>
        <v>4514.0863528660702</v>
      </c>
      <c r="I60" s="114">
        <f>C60+F60+G60+H60</f>
        <v>168669.91457073268</v>
      </c>
      <c r="J60" s="202"/>
    </row>
    <row r="61" spans="2:18" x14ac:dyDescent="0.2">
      <c r="B61" s="115" t="s">
        <v>213</v>
      </c>
      <c r="C61" s="151">
        <f>C60/C55</f>
        <v>0.12156116661978031</v>
      </c>
      <c r="D61" s="151"/>
      <c r="E61" s="151"/>
      <c r="F61" s="151">
        <f t="shared" ref="F61:I61" si="39">F60/F55</f>
        <v>5.537544403603939E-2</v>
      </c>
      <c r="G61" s="151">
        <f t="shared" si="39"/>
        <v>0.25656247551114136</v>
      </c>
      <c r="H61" s="151">
        <f t="shared" si="39"/>
        <v>0.44796498386555356</v>
      </c>
      <c r="I61" s="151">
        <f t="shared" si="39"/>
        <v>0.11640984610992798</v>
      </c>
      <c r="J61" s="202"/>
    </row>
    <row r="65" spans="2:12" x14ac:dyDescent="0.2">
      <c r="B65" s="112"/>
      <c r="C65" s="277" t="s">
        <v>24</v>
      </c>
      <c r="D65" s="277"/>
      <c r="E65" s="277"/>
      <c r="F65" s="277"/>
      <c r="G65" s="277"/>
      <c r="H65" s="277"/>
      <c r="I65" s="277"/>
    </row>
    <row r="66" spans="2:12" x14ac:dyDescent="0.2">
      <c r="B66" s="112"/>
      <c r="C66" s="124" t="s">
        <v>253</v>
      </c>
      <c r="D66" s="124" t="s">
        <v>254</v>
      </c>
      <c r="E66" s="124" t="s">
        <v>237</v>
      </c>
      <c r="F66" s="124" t="s">
        <v>255</v>
      </c>
      <c r="G66" s="124" t="s">
        <v>256</v>
      </c>
      <c r="H66" s="124" t="s">
        <v>257</v>
      </c>
      <c r="I66" s="124" t="s">
        <v>246</v>
      </c>
      <c r="L66" s="28"/>
    </row>
    <row r="67" spans="2:12" x14ac:dyDescent="0.2">
      <c r="B67" s="51" t="s">
        <v>258</v>
      </c>
      <c r="C67" s="113">
        <f>'Aramex Courier'!I7</f>
        <v>960926.27882683696</v>
      </c>
      <c r="D67" s="113">
        <f>'Aramex Express+Parcel Forwardin'!I7</f>
        <v>588432.25545843097</v>
      </c>
      <c r="E67" s="113">
        <f>'Aramex Domestic'!I7</f>
        <v>372494.023368405</v>
      </c>
      <c r="F67" s="113">
        <f>'Aramex Freight'!I7</f>
        <v>432410.05970134598</v>
      </c>
      <c r="G67" s="113">
        <f>'Aramex Logistics'!I7</f>
        <v>111756.154186905</v>
      </c>
      <c r="H67" s="113">
        <f>11496.2580635688*('2025 IR Data Book'!$A$5)</f>
        <v>11496.258063568799</v>
      </c>
      <c r="I67" s="113">
        <f>C67+F67+G67+H67</f>
        <v>1516588.7507786565</v>
      </c>
      <c r="J67" s="202"/>
    </row>
    <row r="68" spans="2:12" x14ac:dyDescent="0.2">
      <c r="B68" s="52" t="s">
        <v>207</v>
      </c>
      <c r="C68" s="114">
        <f>'Aramex Courier'!I10</f>
        <v>282738.89688596991</v>
      </c>
      <c r="D68" s="114">
        <f>'Aramex Express+Parcel Forwardin'!I10</f>
        <v>189708.07582920499</v>
      </c>
      <c r="E68" s="114">
        <f>'Aramex Domestic'!I9</f>
        <v>93030.821056763001</v>
      </c>
      <c r="F68" s="114">
        <f>'Aramex Freight'!I9</f>
        <v>57900.631034185993</v>
      </c>
      <c r="G68" s="114">
        <f>'Aramex Logistics'!I9</f>
        <v>28444.5387291472</v>
      </c>
      <c r="H68" s="114">
        <f>9538.70904976758*('2025 IR Data Book'!$A$5)</f>
        <v>9538.7090497675799</v>
      </c>
      <c r="I68" s="114">
        <f>C68+F68+G68+H68</f>
        <v>378622.77569907065</v>
      </c>
      <c r="J68" s="202"/>
    </row>
    <row r="69" spans="2:12" x14ac:dyDescent="0.2">
      <c r="B69" s="53" t="s">
        <v>208</v>
      </c>
      <c r="C69" s="149">
        <f>C68/C67</f>
        <v>0.29423578386383237</v>
      </c>
      <c r="D69" s="149">
        <f t="shared" ref="D69:E69" si="40">D68/D67</f>
        <v>0.32239577975107564</v>
      </c>
      <c r="E69" s="149">
        <f t="shared" si="40"/>
        <v>0.24975117779206196</v>
      </c>
      <c r="F69" s="149">
        <f t="shared" ref="F69" si="41">F68/F67</f>
        <v>0.13390213695346589</v>
      </c>
      <c r="G69" s="149">
        <f t="shared" ref="G69" si="42">G68/G67</f>
        <v>0.25452324246569485</v>
      </c>
      <c r="H69" s="149">
        <f t="shared" ref="H69:I69" si="43">H68/H67</f>
        <v>0.82972294089286169</v>
      </c>
      <c r="I69" s="150">
        <f t="shared" si="43"/>
        <v>0.24965421608506314</v>
      </c>
      <c r="J69" s="202"/>
    </row>
    <row r="70" spans="2:12" x14ac:dyDescent="0.2">
      <c r="B70" s="53" t="s">
        <v>259</v>
      </c>
      <c r="C70" s="114">
        <f>'Aramex Courier'!I13</f>
        <v>40621.486549961097</v>
      </c>
      <c r="D70" s="114"/>
      <c r="E70" s="114"/>
      <c r="F70" s="114">
        <f>'Aramex Freight'!I12</f>
        <v>17186.7608977198</v>
      </c>
      <c r="G70" s="114">
        <f>'Aramex Logistics'!I12</f>
        <v>5179.8432427589596</v>
      </c>
      <c r="H70" s="114">
        <f>585.358921985922*('2025 IR Data Book'!$A$5)</f>
        <v>585.35892198592205</v>
      </c>
      <c r="I70" s="114">
        <f>C70+F70+G70+H70</f>
        <v>63573.449612425778</v>
      </c>
      <c r="J70" s="202"/>
    </row>
    <row r="71" spans="2:12" x14ac:dyDescent="0.2">
      <c r="B71" s="53" t="s">
        <v>211</v>
      </c>
      <c r="C71" s="149">
        <f>C70/C67</f>
        <v>4.2273260129335334E-2</v>
      </c>
      <c r="D71" s="149"/>
      <c r="E71" s="149"/>
      <c r="F71" s="149">
        <f t="shared" ref="F71" si="44">F70/F67</f>
        <v>3.9746440935232254E-2</v>
      </c>
      <c r="G71" s="149">
        <f t="shared" ref="G71" si="45">G70/G67</f>
        <v>4.634951229706781E-2</v>
      </c>
      <c r="H71" s="149">
        <f t="shared" ref="H71:I71" si="46">H70/H67</f>
        <v>5.0917343604255198E-2</v>
      </c>
      <c r="I71" s="150">
        <f t="shared" si="46"/>
        <v>4.1918713678830537E-2</v>
      </c>
      <c r="J71" s="202"/>
    </row>
    <row r="72" spans="2:12" x14ac:dyDescent="0.2">
      <c r="B72" s="53" t="s">
        <v>212</v>
      </c>
      <c r="C72" s="148">
        <f>'Aramex Courier'!I15</f>
        <v>102064.863900749</v>
      </c>
      <c r="D72" s="148"/>
      <c r="E72" s="148"/>
      <c r="F72" s="148">
        <f>'Aramex Freight'!I14</f>
        <v>24717.576803483498</v>
      </c>
      <c r="G72" s="148">
        <f>'Aramex Logistics'!I14</f>
        <v>26975.438780177101</v>
      </c>
      <c r="H72" s="148">
        <f>1777.07850807516*('2025 IR Data Book'!$A$5)</f>
        <v>1777.07850807516</v>
      </c>
      <c r="I72" s="114">
        <f>C72+F72+G72+H72</f>
        <v>155534.95799248473</v>
      </c>
      <c r="J72" s="202"/>
    </row>
    <row r="73" spans="2:12" x14ac:dyDescent="0.2">
      <c r="B73" s="115" t="s">
        <v>213</v>
      </c>
      <c r="C73" s="151">
        <f>C72/C67</f>
        <v>0.1062150824154342</v>
      </c>
      <c r="D73" s="151"/>
      <c r="E73" s="151"/>
      <c r="F73" s="151">
        <f t="shared" ref="F73" si="47">F72/F67</f>
        <v>5.7162353763358938E-2</v>
      </c>
      <c r="G73" s="151">
        <f t="shared" ref="G73" si="48">G72/G67</f>
        <v>0.24137765813829287</v>
      </c>
      <c r="H73" s="151">
        <f t="shared" ref="H73:I73" si="49">H72/H67</f>
        <v>0.15457886368318868</v>
      </c>
      <c r="I73" s="151">
        <f t="shared" si="49"/>
        <v>0.10255579036349109</v>
      </c>
      <c r="J73" s="202"/>
    </row>
    <row r="77" spans="2:12" x14ac:dyDescent="0.2">
      <c r="B77" s="112"/>
      <c r="C77" s="277" t="s">
        <v>25</v>
      </c>
      <c r="D77" s="277"/>
      <c r="E77" s="277"/>
      <c r="F77" s="277"/>
      <c r="G77" s="277"/>
      <c r="H77" s="277"/>
      <c r="I77" s="277"/>
    </row>
    <row r="78" spans="2:12" x14ac:dyDescent="0.2">
      <c r="B78" s="112"/>
      <c r="C78" s="124" t="s">
        <v>253</v>
      </c>
      <c r="D78" s="124" t="s">
        <v>254</v>
      </c>
      <c r="E78" s="124" t="s">
        <v>237</v>
      </c>
      <c r="F78" s="124" t="s">
        <v>255</v>
      </c>
      <c r="G78" s="124" t="s">
        <v>256</v>
      </c>
      <c r="H78" s="124" t="s">
        <v>257</v>
      </c>
      <c r="I78" s="124" t="s">
        <v>246</v>
      </c>
    </row>
    <row r="79" spans="2:12" x14ac:dyDescent="0.2">
      <c r="B79" s="51" t="s">
        <v>258</v>
      </c>
      <c r="C79" s="113">
        <f>'Aramex Courier'!J7</f>
        <v>863747.20107320079</v>
      </c>
      <c r="D79" s="113">
        <f>'Aramex Express+Parcel Forwardin'!J7</f>
        <v>493926.81901904807</v>
      </c>
      <c r="E79" s="113">
        <f>'Aramex Domestic'!J7</f>
        <v>369819.62029111129</v>
      </c>
      <c r="F79" s="113">
        <f>'Aramex Freight'!J7</f>
        <v>439529.933418189</v>
      </c>
      <c r="G79" s="113">
        <f>'Aramex Logistics'!J7</f>
        <v>110474.51392035501</v>
      </c>
      <c r="H79" s="113">
        <f>(-36789.3525840966+49288.2873002326)*(('2025 IR Data Book'!$A$5))</f>
        <v>12498.934716135998</v>
      </c>
      <c r="I79" s="113">
        <f>C79+F79+G79+H79</f>
        <v>1426250.5831278807</v>
      </c>
      <c r="J79" s="202"/>
      <c r="K79" s="28"/>
    </row>
    <row r="80" spans="2:12" x14ac:dyDescent="0.2">
      <c r="B80" s="52" t="s">
        <v>207</v>
      </c>
      <c r="C80" s="114">
        <f>'Aramex Courier'!J10</f>
        <v>240742.13007819699</v>
      </c>
      <c r="D80" s="114">
        <f>'Aramex Express+Parcel Forwardin'!J10</f>
        <v>151838.95453124295</v>
      </c>
      <c r="E80" s="114">
        <f>'Aramex Domestic'!J9</f>
        <v>88902.425609685248</v>
      </c>
      <c r="F80" s="114">
        <f>'Aramex Freight'!J9</f>
        <v>60782.323504534783</v>
      </c>
      <c r="G80" s="114">
        <f>'Aramex Logistics'!J9</f>
        <v>8706.7693700406671</v>
      </c>
      <c r="H80" s="114">
        <f>(-18434.7593072861--29030.7812005074)*(('2025 IR Data Book'!$A$5))</f>
        <v>10596.021893221303</v>
      </c>
      <c r="I80" s="114">
        <f>C80+F80+G80+H80</f>
        <v>320827.24484599376</v>
      </c>
      <c r="J80" s="202"/>
      <c r="K80" s="28"/>
    </row>
    <row r="81" spans="2:17" x14ac:dyDescent="0.2">
      <c r="B81" s="53" t="s">
        <v>208</v>
      </c>
      <c r="C81" s="149">
        <f>C80/C79</f>
        <v>0.27871827518407738</v>
      </c>
      <c r="D81" s="149">
        <f t="shared" ref="D81:E81" si="50">D80/D79</f>
        <v>0.30741184459835408</v>
      </c>
      <c r="E81" s="149">
        <f t="shared" si="50"/>
        <v>0.24039402111684566</v>
      </c>
      <c r="F81" s="149">
        <f t="shared" ref="F81:I81" si="51">F80/F79</f>
        <v>0.13828938345981476</v>
      </c>
      <c r="G81" s="149">
        <f t="shared" si="51"/>
        <v>7.8812470506253465E-2</v>
      </c>
      <c r="H81" s="149">
        <f t="shared" si="51"/>
        <v>0.84775399935019624</v>
      </c>
      <c r="I81" s="150">
        <f t="shared" si="51"/>
        <v>0.22494451440811625</v>
      </c>
      <c r="J81" s="202"/>
      <c r="K81" s="28"/>
    </row>
    <row r="82" spans="2:17" x14ac:dyDescent="0.2">
      <c r="B82" s="53" t="s">
        <v>259</v>
      </c>
      <c r="C82" s="114">
        <f>'Aramex Courier'!J13</f>
        <v>20859.126236789834</v>
      </c>
      <c r="D82" s="114"/>
      <c r="E82" s="114"/>
      <c r="F82" s="114">
        <f>'Aramex Freight'!J12</f>
        <v>23567.350715414144</v>
      </c>
      <c r="G82" s="114">
        <f>'Aramex Logistics'!J12</f>
        <v>-6114.5863912995819</v>
      </c>
      <c r="H82" s="114">
        <f>(13315.9612230839-723.780866769583)*(('2025 IR Data Book'!$A$5))</f>
        <v>12592.180356314317</v>
      </c>
      <c r="I82" s="114">
        <f>C82+F82+G82+H82</f>
        <v>50904.070917218713</v>
      </c>
      <c r="J82" s="202"/>
      <c r="K82" s="28"/>
      <c r="L82" s="81"/>
    </row>
    <row r="83" spans="2:17" x14ac:dyDescent="0.2">
      <c r="B83" s="53" t="s">
        <v>211</v>
      </c>
      <c r="C83" s="149">
        <f>C82/C79</f>
        <v>2.4149573174735029E-2</v>
      </c>
      <c r="D83" s="149"/>
      <c r="E83" s="149"/>
      <c r="F83" s="149">
        <f t="shared" ref="F83:I83" si="52">F82/F79</f>
        <v>5.3619444146005599E-2</v>
      </c>
      <c r="G83" s="149">
        <f t="shared" si="52"/>
        <v>-5.5348389183298909E-2</v>
      </c>
      <c r="H83" s="149">
        <f t="shared" si="52"/>
        <v>1.0074602870001343</v>
      </c>
      <c r="I83" s="150">
        <f t="shared" si="52"/>
        <v>3.5690832676528728E-2</v>
      </c>
      <c r="J83" s="202"/>
      <c r="K83" s="28"/>
      <c r="L83" s="81"/>
    </row>
    <row r="84" spans="2:17" x14ac:dyDescent="0.2">
      <c r="B84" s="53" t="s">
        <v>212</v>
      </c>
      <c r="C84" s="148">
        <f>'Aramex Courier'!J15</f>
        <v>84039.694439519197</v>
      </c>
      <c r="D84" s="148"/>
      <c r="E84" s="148"/>
      <c r="F84" s="148">
        <f>'Aramex Freight'!J14</f>
        <v>31294.683315703442</v>
      </c>
      <c r="G84" s="148">
        <f>'Aramex Logistics'!J14</f>
        <v>15077.853402942386</v>
      </c>
      <c r="H84" s="148">
        <f>(5420.97088348717--5521.02950752155)*(('2025 IR Data Book'!$A$5))</f>
        <v>10942.00039100872</v>
      </c>
      <c r="I84" s="114">
        <f>C84+F84+G84+H84</f>
        <v>141354.23154917374</v>
      </c>
      <c r="J84" s="202"/>
      <c r="K84" s="28"/>
      <c r="L84" s="81"/>
    </row>
    <row r="85" spans="2:17" x14ac:dyDescent="0.2">
      <c r="B85" s="115" t="s">
        <v>213</v>
      </c>
      <c r="C85" s="151">
        <f>C84/C79</f>
        <v>9.7296633013803549E-2</v>
      </c>
      <c r="D85" s="151"/>
      <c r="E85" s="151"/>
      <c r="F85" s="151">
        <f t="shared" ref="F85:I85" si="53">F84/F79</f>
        <v>7.1200345952156671E-2</v>
      </c>
      <c r="G85" s="151">
        <f t="shared" si="53"/>
        <v>0.13648264081806727</v>
      </c>
      <c r="H85" s="151">
        <f t="shared" si="53"/>
        <v>0.87543463819222189</v>
      </c>
      <c r="I85" s="151">
        <f t="shared" si="53"/>
        <v>9.9108973711458673E-2</v>
      </c>
      <c r="J85" s="202"/>
      <c r="K85" s="28"/>
    </row>
    <row r="87" spans="2:17" x14ac:dyDescent="0.2">
      <c r="C87" s="81"/>
      <c r="D87" s="81"/>
      <c r="E87" s="81"/>
      <c r="F87" s="81"/>
      <c r="G87" s="81"/>
      <c r="H87" s="81"/>
    </row>
    <row r="88" spans="2:17" x14ac:dyDescent="0.2">
      <c r="C88" s="81"/>
      <c r="D88" s="81"/>
      <c r="E88" s="81"/>
      <c r="F88" s="81"/>
      <c r="G88" s="81"/>
      <c r="H88" s="81"/>
    </row>
    <row r="89" spans="2:17" x14ac:dyDescent="0.2">
      <c r="B89" s="112"/>
      <c r="C89" s="277" t="s">
        <v>26</v>
      </c>
      <c r="D89" s="277"/>
      <c r="E89" s="277"/>
      <c r="F89" s="277"/>
      <c r="G89" s="277"/>
      <c r="H89" s="277"/>
      <c r="I89" s="277"/>
    </row>
    <row r="90" spans="2:17" x14ac:dyDescent="0.2">
      <c r="B90" s="112"/>
      <c r="C90" s="124" t="s">
        <v>253</v>
      </c>
      <c r="D90" s="124" t="s">
        <v>254</v>
      </c>
      <c r="E90" s="124" t="s">
        <v>237</v>
      </c>
      <c r="F90" s="124" t="s">
        <v>255</v>
      </c>
      <c r="G90" s="124" t="s">
        <v>256</v>
      </c>
      <c r="H90" s="124" t="s">
        <v>257</v>
      </c>
      <c r="I90" s="124" t="s">
        <v>246</v>
      </c>
    </row>
    <row r="91" spans="2:17" x14ac:dyDescent="0.2">
      <c r="B91" s="51" t="s">
        <v>258</v>
      </c>
      <c r="C91" s="113">
        <f>'Aramex Courier'!K7</f>
        <v>985277.36157301778</v>
      </c>
      <c r="D91" s="113">
        <f>'Aramex Express+Parcel Forwardin'!K7</f>
        <v>607548.92735698551</v>
      </c>
      <c r="E91" s="113">
        <f>'Aramex Domestic'!K7</f>
        <v>377728.43421603367</v>
      </c>
      <c r="F91" s="113">
        <f>'Aramex Freight'!K7</f>
        <v>421302.90455565351</v>
      </c>
      <c r="G91" s="113">
        <f>'Aramex Logistics'!K7</f>
        <v>115471.37676662131</v>
      </c>
      <c r="H91" s="113">
        <f>12182.2109990966*(('2025 IR Data Book'!$A$5))</f>
        <v>12182.2109990966</v>
      </c>
      <c r="I91" s="113">
        <f>C91+F91+G91+H91</f>
        <v>1534233.8538943892</v>
      </c>
      <c r="J91" s="81"/>
      <c r="K91" s="81"/>
      <c r="L91" s="28"/>
      <c r="M91" s="28"/>
      <c r="N91" s="28"/>
      <c r="O91" s="28"/>
      <c r="P91" s="28"/>
      <c r="Q91" s="28"/>
    </row>
    <row r="92" spans="2:17" x14ac:dyDescent="0.2">
      <c r="B92" s="52" t="s">
        <v>207</v>
      </c>
      <c r="C92" s="114">
        <f>'Aramex Courier'!K10</f>
        <v>289588.21593279392</v>
      </c>
      <c r="D92" s="114">
        <f>'Aramex Express+Parcel Forwardin'!K10</f>
        <v>193998.75269176392</v>
      </c>
      <c r="E92" s="114">
        <f>'Aramex Domestic'!K9</f>
        <v>95589.463241031859</v>
      </c>
      <c r="F92" s="114">
        <f>'Aramex Freight'!K9</f>
        <v>61956.415592805599</v>
      </c>
      <c r="G92" s="114">
        <f>'Aramex Logistics'!K9</f>
        <v>18703.803595103745</v>
      </c>
      <c r="H92" s="114">
        <f>10505.6098040025*(('2025 IR Data Book'!$A$5))</f>
        <v>10505.609804002501</v>
      </c>
      <c r="I92" s="114">
        <f>C92+F92+G92+H92</f>
        <v>380754.04492470575</v>
      </c>
      <c r="J92" s="81"/>
      <c r="K92" s="81"/>
      <c r="L92" s="28"/>
      <c r="M92" s="28"/>
      <c r="N92" s="28"/>
      <c r="O92" s="28"/>
      <c r="P92" s="28"/>
      <c r="Q92" s="28"/>
    </row>
    <row r="93" spans="2:17" x14ac:dyDescent="0.2">
      <c r="B93" s="53" t="s">
        <v>208</v>
      </c>
      <c r="C93" s="149">
        <f>C92/C91</f>
        <v>0.29391542648504554</v>
      </c>
      <c r="D93" s="149">
        <f t="shared" ref="D93:I93" si="54">D92/D91</f>
        <v>0.31931379343506522</v>
      </c>
      <c r="E93" s="149">
        <f t="shared" si="54"/>
        <v>0.25306398613973952</v>
      </c>
      <c r="F93" s="149">
        <f t="shared" si="54"/>
        <v>0.14705907536562271</v>
      </c>
      <c r="G93" s="149">
        <f t="shared" si="54"/>
        <v>0.16197783484391912</v>
      </c>
      <c r="H93" s="149">
        <f t="shared" si="54"/>
        <v>0.8623729965587994</v>
      </c>
      <c r="I93" s="150">
        <f t="shared" si="54"/>
        <v>0.24817210489667332</v>
      </c>
      <c r="J93" s="81"/>
      <c r="K93" s="81"/>
    </row>
    <row r="94" spans="2:17" x14ac:dyDescent="0.2">
      <c r="B94" s="53" t="s">
        <v>259</v>
      </c>
      <c r="C94" s="114">
        <f>'Aramex Courier'!K13</f>
        <v>29790.616801794084</v>
      </c>
      <c r="D94" s="114"/>
      <c r="E94" s="114"/>
      <c r="F94" s="114">
        <f>'Aramex Freight'!K12</f>
        <v>16334.294038313656</v>
      </c>
      <c r="G94" s="114">
        <f>'Aramex Logistics'!K12</f>
        <v>4289.7071120496157</v>
      </c>
      <c r="H94" s="114">
        <f>(5434)*(('2025 IR Data Book'!$A$5))</f>
        <v>5434</v>
      </c>
      <c r="I94" s="114">
        <f>C94+F94+G94+H94</f>
        <v>55848.617952157358</v>
      </c>
      <c r="J94" s="81"/>
      <c r="K94" s="81"/>
      <c r="L94" s="28"/>
      <c r="M94" s="28"/>
      <c r="N94" s="28"/>
      <c r="O94" s="28"/>
      <c r="P94" s="28"/>
      <c r="Q94" s="28"/>
    </row>
    <row r="95" spans="2:17" x14ac:dyDescent="0.2">
      <c r="B95" s="53" t="s">
        <v>211</v>
      </c>
      <c r="C95" s="149">
        <f>C94/C91</f>
        <v>3.0235767067897192E-2</v>
      </c>
      <c r="D95" s="149"/>
      <c r="E95" s="149"/>
      <c r="F95" s="149">
        <f t="shared" ref="F95:I95" si="55">F94/F91</f>
        <v>3.8770902981410421E-2</v>
      </c>
      <c r="G95" s="149">
        <f t="shared" si="55"/>
        <v>3.7149527719925989E-2</v>
      </c>
      <c r="H95" s="149">
        <f t="shared" si="55"/>
        <v>0.44606024312031461</v>
      </c>
      <c r="I95" s="150">
        <f t="shared" si="55"/>
        <v>3.6401633173714185E-2</v>
      </c>
      <c r="J95" s="81"/>
      <c r="K95" s="81"/>
    </row>
    <row r="96" spans="2:17" x14ac:dyDescent="0.2">
      <c r="B96" s="53" t="s">
        <v>212</v>
      </c>
      <c r="C96" s="148">
        <f>'Aramex Courier'!K15</f>
        <v>92605.047142430441</v>
      </c>
      <c r="D96" s="148"/>
      <c r="E96" s="148"/>
      <c r="F96" s="148">
        <f>'Aramex Freight'!K14</f>
        <v>23442.815503556376</v>
      </c>
      <c r="G96" s="148">
        <f>'Aramex Logistics'!K14</f>
        <v>26387.492525135222</v>
      </c>
      <c r="H96" s="148">
        <f>(6010.4246353474)*(('2025 IR Data Book'!$A$5))</f>
        <v>6010.4246353474</v>
      </c>
      <c r="I96" s="114">
        <f>C96+F96+G96+H96</f>
        <v>148445.77980646942</v>
      </c>
      <c r="J96" s="81"/>
      <c r="K96" s="81"/>
      <c r="L96" s="28"/>
      <c r="M96" s="28"/>
      <c r="N96" s="28"/>
      <c r="O96" s="28"/>
      <c r="P96" s="28"/>
      <c r="Q96" s="28"/>
    </row>
    <row r="97" spans="2:11" x14ac:dyDescent="0.2">
      <c r="B97" s="115" t="s">
        <v>213</v>
      </c>
      <c r="C97" s="151">
        <f>C96/C91</f>
        <v>9.3988810414342996E-2</v>
      </c>
      <c r="D97" s="151"/>
      <c r="E97" s="151"/>
      <c r="F97" s="151">
        <f t="shared" ref="F97:I97" si="56">F96/F91</f>
        <v>5.5643612351264041E-2</v>
      </c>
      <c r="G97" s="151">
        <f t="shared" si="56"/>
        <v>0.2285197705615554</v>
      </c>
      <c r="H97" s="151">
        <f t="shared" si="56"/>
        <v>0.49337715754497413</v>
      </c>
      <c r="I97" s="151">
        <f t="shared" si="56"/>
        <v>9.6755640888555094E-2</v>
      </c>
      <c r="J97" s="81"/>
      <c r="K97" s="81"/>
    </row>
    <row r="98" spans="2:11" x14ac:dyDescent="0.2">
      <c r="J98" s="81"/>
      <c r="K98" s="81"/>
    </row>
    <row r="99" spans="2:11" x14ac:dyDescent="0.2">
      <c r="J99" s="81"/>
      <c r="K99" s="81"/>
    </row>
    <row r="100" spans="2:11" x14ac:dyDescent="0.2">
      <c r="J100" s="81"/>
      <c r="K100" s="81"/>
    </row>
    <row r="101" spans="2:11" x14ac:dyDescent="0.2">
      <c r="B101" s="112"/>
      <c r="C101" s="277" t="s">
        <v>28</v>
      </c>
      <c r="D101" s="277"/>
      <c r="E101" s="277"/>
      <c r="F101" s="277"/>
      <c r="G101" s="277"/>
      <c r="H101" s="277"/>
      <c r="I101" s="277"/>
      <c r="J101" s="81"/>
      <c r="K101" s="81"/>
    </row>
    <row r="102" spans="2:11" x14ac:dyDescent="0.2">
      <c r="B102" s="112"/>
      <c r="C102" s="124" t="s">
        <v>253</v>
      </c>
      <c r="D102" s="124" t="s">
        <v>254</v>
      </c>
      <c r="E102" s="124" t="s">
        <v>237</v>
      </c>
      <c r="F102" s="124" t="s">
        <v>255</v>
      </c>
      <c r="G102" s="124" t="s">
        <v>256</v>
      </c>
      <c r="H102" s="124" t="s">
        <v>257</v>
      </c>
      <c r="I102" s="124" t="s">
        <v>246</v>
      </c>
      <c r="J102" s="81"/>
      <c r="K102" s="81"/>
    </row>
    <row r="103" spans="2:11" x14ac:dyDescent="0.2">
      <c r="B103" s="51" t="s">
        <v>258</v>
      </c>
      <c r="C103" s="113">
        <f>'Aramex Courier'!$M$7</f>
        <v>928233.12068608799</v>
      </c>
      <c r="D103" s="113">
        <f>'Aramex Express+Parcel Forwardin'!M7</f>
        <v>566580.92004547699</v>
      </c>
      <c r="E103" s="113">
        <f>'Aramex Domestic'!$M$7</f>
        <v>361652.200640611</v>
      </c>
      <c r="F103" s="113">
        <f>'Aramex Freight'!M7</f>
        <v>385432.399304953</v>
      </c>
      <c r="G103" s="113">
        <f>'Aramex Logistics'!$M$7</f>
        <v>107043.899568076</v>
      </c>
      <c r="H103" s="113">
        <f>(2937.12655020684*3.6726)*(('2025 IR Data Book'!$A$5))</f>
        <v>10786.890968289641</v>
      </c>
      <c r="I103" s="113">
        <f>C103+F103+G103+H103</f>
        <v>1431496.3105274066</v>
      </c>
      <c r="J103" s="81"/>
      <c r="K103" s="81"/>
    </row>
    <row r="104" spans="2:11" x14ac:dyDescent="0.2">
      <c r="B104" s="52" t="s">
        <v>207</v>
      </c>
      <c r="C104" s="114">
        <f>'Aramex Courier'!$M$10</f>
        <v>271432.07395351096</v>
      </c>
      <c r="D104" s="114">
        <f>'Aramex Express+Parcel Forwardin'!$M$10</f>
        <v>183795.47836867999</v>
      </c>
      <c r="E104" s="114">
        <f>'Aramex Domestic'!$M$9</f>
        <v>87636.595621556975</v>
      </c>
      <c r="F104" s="114">
        <f>'Aramex Freight'!$M$9</f>
        <v>61151.008183815982</v>
      </c>
      <c r="G104" s="114">
        <f>'Aramex Logistics'!$M$9</f>
        <v>16202.623482585303</v>
      </c>
      <c r="H104" s="114">
        <f>(2508.90493270667*3.6726)*(('2025 IR Data Book'!$A$5))</f>
        <v>9214.2042558585163</v>
      </c>
      <c r="I104" s="114">
        <f>C104+F104+G104+H104</f>
        <v>357999.90987577074</v>
      </c>
      <c r="J104" s="81"/>
      <c r="K104" s="81"/>
    </row>
    <row r="105" spans="2:11" x14ac:dyDescent="0.2">
      <c r="B105" s="53" t="s">
        <v>208</v>
      </c>
      <c r="C105" s="149">
        <f>C104/C103</f>
        <v>0.29241800136681878</v>
      </c>
      <c r="D105" s="149">
        <f t="shared" ref="D105:I105" si="57">D104/D103</f>
        <v>0.32439404834516405</v>
      </c>
      <c r="E105" s="149">
        <f t="shared" si="57"/>
        <v>0.24232286010239198</v>
      </c>
      <c r="F105" s="149">
        <f t="shared" si="57"/>
        <v>0.15865559899502243</v>
      </c>
      <c r="G105" s="149">
        <f t="shared" si="57"/>
        <v>0.15136428650267011</v>
      </c>
      <c r="H105" s="149">
        <f t="shared" si="57"/>
        <v>0.85420389275701669</v>
      </c>
      <c r="I105" s="150">
        <f t="shared" si="57"/>
        <v>0.25008790259743857</v>
      </c>
      <c r="J105" s="81"/>
      <c r="K105" s="81"/>
    </row>
    <row r="106" spans="2:11" x14ac:dyDescent="0.2">
      <c r="B106" s="53" t="s">
        <v>259</v>
      </c>
      <c r="C106" s="114">
        <f>'Aramex Courier'!$M$13</f>
        <v>37804.832916879997</v>
      </c>
      <c r="D106" s="114"/>
      <c r="E106" s="114"/>
      <c r="F106" s="114">
        <f>'Aramex Freight'!$M$12</f>
        <v>20526.1305095385</v>
      </c>
      <c r="G106" s="114">
        <f>'Aramex Logistics'!$M$12</f>
        <v>2150.1494624700199</v>
      </c>
      <c r="H106" s="114">
        <f>(685.610760518868*3.6726)*(('2025 IR Data Book'!$A$5))</f>
        <v>2517.9740790815945</v>
      </c>
      <c r="I106" s="114">
        <f>C106+F106+G106+H106</f>
        <v>62999.086967970114</v>
      </c>
      <c r="J106" s="81"/>
      <c r="K106" s="81"/>
    </row>
    <row r="107" spans="2:11" x14ac:dyDescent="0.2">
      <c r="B107" s="53" t="s">
        <v>211</v>
      </c>
      <c r="C107" s="149">
        <f>C106/C103</f>
        <v>4.0727735387137649E-2</v>
      </c>
      <c r="D107" s="149"/>
      <c r="E107" s="149"/>
      <c r="F107" s="149">
        <f t="shared" ref="F107:I107" si="58">F106/F103</f>
        <v>5.3254813416186854E-2</v>
      </c>
      <c r="G107" s="149">
        <f t="shared" si="58"/>
        <v>2.0086613727133544E-2</v>
      </c>
      <c r="H107" s="149">
        <f t="shared" si="58"/>
        <v>0.23342908410622806</v>
      </c>
      <c r="I107" s="150">
        <f t="shared" si="58"/>
        <v>4.4009255563333821E-2</v>
      </c>
      <c r="J107" s="81"/>
      <c r="K107" s="81"/>
    </row>
    <row r="108" spans="2:11" x14ac:dyDescent="0.2">
      <c r="B108" s="53" t="s">
        <v>212</v>
      </c>
      <c r="C108" s="148">
        <f>'Aramex Courier'!$M$15</f>
        <v>97445.667690699906</v>
      </c>
      <c r="D108" s="148"/>
      <c r="E108" s="148"/>
      <c r="F108" s="148">
        <f>'Aramex Freight'!$M$14</f>
        <v>27676.310007039701</v>
      </c>
      <c r="G108" s="148">
        <f>'Aramex Logistics'!$M$14</f>
        <v>24888.5034405447</v>
      </c>
      <c r="H108" s="148">
        <f>(858.400410326417*3.6726)*(('2025 IR Data Book'!$A$5))</f>
        <v>3152.5613469647992</v>
      </c>
      <c r="I108" s="114">
        <f>C108+F108+G108+H108</f>
        <v>153163.04248524911</v>
      </c>
      <c r="J108" s="81"/>
      <c r="K108" s="81"/>
    </row>
    <row r="109" spans="2:11" x14ac:dyDescent="0.2">
      <c r="B109" s="115" t="s">
        <v>213</v>
      </c>
      <c r="C109" s="151">
        <f>C108/C103</f>
        <v>0.1049797357141001</v>
      </c>
      <c r="D109" s="151"/>
      <c r="E109" s="151"/>
      <c r="F109" s="151">
        <f t="shared" ref="F109:I109" si="59">F108/F103</f>
        <v>7.1805873239894097E-2</v>
      </c>
      <c r="G109" s="151">
        <f t="shared" si="59"/>
        <v>0.23250744359062259</v>
      </c>
      <c r="H109" s="151">
        <f t="shared" si="59"/>
        <v>0.29225857165261271</v>
      </c>
      <c r="I109" s="151">
        <f t="shared" si="59"/>
        <v>0.10699506618275474</v>
      </c>
      <c r="J109" s="81"/>
      <c r="K109" s="81"/>
    </row>
    <row r="110" spans="2:11" x14ac:dyDescent="0.2">
      <c r="J110" s="81"/>
      <c r="K110" s="81"/>
    </row>
    <row r="111" spans="2:11" x14ac:dyDescent="0.2">
      <c r="J111" s="81"/>
      <c r="K111" s="81"/>
    </row>
    <row r="112" spans="2:11" x14ac:dyDescent="0.2">
      <c r="J112" s="81"/>
      <c r="K112" s="81"/>
    </row>
    <row r="113" spans="2:11" x14ac:dyDescent="0.2">
      <c r="B113" s="112"/>
      <c r="C113" s="277" t="s">
        <v>29</v>
      </c>
      <c r="D113" s="277"/>
      <c r="E113" s="277"/>
      <c r="F113" s="277"/>
      <c r="G113" s="277"/>
      <c r="H113" s="277"/>
      <c r="I113" s="277"/>
      <c r="J113" s="81"/>
      <c r="K113" s="81"/>
    </row>
    <row r="114" spans="2:11" x14ac:dyDescent="0.2">
      <c r="B114" s="112"/>
      <c r="C114" s="124" t="s">
        <v>253</v>
      </c>
      <c r="D114" s="124" t="s">
        <v>254</v>
      </c>
      <c r="E114" s="124" t="s">
        <v>237</v>
      </c>
      <c r="F114" s="124" t="s">
        <v>255</v>
      </c>
      <c r="G114" s="124" t="s">
        <v>256</v>
      </c>
      <c r="H114" s="124" t="s">
        <v>257</v>
      </c>
      <c r="I114" s="124" t="s">
        <v>246</v>
      </c>
      <c r="J114" s="81"/>
      <c r="K114" s="81"/>
    </row>
    <row r="115" spans="2:11" x14ac:dyDescent="0.2">
      <c r="B115" s="51" t="s">
        <v>258</v>
      </c>
      <c r="C115" s="113">
        <f>'Aramex Courier'!$N$7</f>
        <v>912426.25961156597</v>
      </c>
      <c r="D115" s="113">
        <f>'Aramex Express+Parcel Forwardin'!N7</f>
        <v>561041.18413617101</v>
      </c>
      <c r="E115" s="113">
        <f>'Aramex Domestic'!$N$7</f>
        <v>351385.07547539601</v>
      </c>
      <c r="F115" s="113">
        <f>'Aramex Freight'!N7</f>
        <v>358609.42971272703</v>
      </c>
      <c r="G115" s="113">
        <f>'Aramex Logistics'!$N$7</f>
        <v>106216.528820156</v>
      </c>
      <c r="H115" s="113">
        <f>(11587.0353635627)*(('2025 IR Data Book'!$A$5))</f>
        <v>11587.0353635627</v>
      </c>
      <c r="I115" s="113">
        <f>C115+F115+G115+H115</f>
        <v>1388839.2535080116</v>
      </c>
      <c r="J115" s="81"/>
      <c r="K115" s="81"/>
    </row>
    <row r="116" spans="2:11" x14ac:dyDescent="0.2">
      <c r="B116" s="52" t="s">
        <v>207</v>
      </c>
      <c r="C116" s="114">
        <f>'Aramex Courier'!$N$10</f>
        <v>262915.29451088398</v>
      </c>
      <c r="D116" s="114">
        <f>'Aramex Express+Parcel Forwardin'!$N$10</f>
        <v>188324.31267678604</v>
      </c>
      <c r="E116" s="114">
        <f>'Aramex Domestic'!$N$9</f>
        <v>74590.981834098988</v>
      </c>
      <c r="F116" s="114">
        <f>'Aramex Freight'!$N$9</f>
        <v>56600.606066953042</v>
      </c>
      <c r="G116" s="114">
        <f>'Aramex Logistics'!$N$9</f>
        <v>16297.442148518006</v>
      </c>
      <c r="H116" s="114">
        <f>(9732.6060737382)*(('2025 IR Data Book'!$A$5))</f>
        <v>9732.6060737381995</v>
      </c>
      <c r="I116" s="114">
        <f>C116+F116+G116+H116</f>
        <v>345545.9488000932</v>
      </c>
      <c r="J116" s="81"/>
      <c r="K116" s="81"/>
    </row>
    <row r="117" spans="2:11" x14ac:dyDescent="0.2">
      <c r="B117" s="53" t="s">
        <v>208</v>
      </c>
      <c r="C117" s="149">
        <f>C116/C115</f>
        <v>0.28814963591996035</v>
      </c>
      <c r="D117" s="149">
        <f t="shared" ref="D117:I117" si="60">D116/D115</f>
        <v>0.33566931983210274</v>
      </c>
      <c r="E117" s="149">
        <f t="shared" si="60"/>
        <v>0.21227703462699243</v>
      </c>
      <c r="F117" s="149">
        <f t="shared" si="60"/>
        <v>0.15783356871651244</v>
      </c>
      <c r="G117" s="149">
        <f t="shared" si="60"/>
        <v>0.15343602666692821</v>
      </c>
      <c r="H117" s="149">
        <f t="shared" si="60"/>
        <v>0.83995653489968181</v>
      </c>
      <c r="I117" s="150">
        <f t="shared" si="60"/>
        <v>0.24880197469022639</v>
      </c>
      <c r="J117" s="81"/>
      <c r="K117" s="81"/>
    </row>
    <row r="118" spans="2:11" x14ac:dyDescent="0.2">
      <c r="B118" s="53" t="s">
        <v>259</v>
      </c>
      <c r="C118" s="114">
        <f>'Aramex Courier'!$N$13</f>
        <v>30286.022654890101</v>
      </c>
      <c r="D118" s="114"/>
      <c r="E118" s="114"/>
      <c r="F118" s="114">
        <f>'Aramex Freight'!$N$12</f>
        <v>15543.7240725677</v>
      </c>
      <c r="G118" s="114">
        <f>'Aramex Logistics'!$N$12</f>
        <v>1381.98113750065</v>
      </c>
      <c r="H118" s="114">
        <f>(5549.87462995629)*(('2025 IR Data Book'!$A$5))</f>
        <v>5549.8746299562899</v>
      </c>
      <c r="I118" s="114">
        <f>C118+F118+G118+H118</f>
        <v>52761.60249491474</v>
      </c>
      <c r="J118" s="81"/>
      <c r="K118" s="81"/>
    </row>
    <row r="119" spans="2:11" x14ac:dyDescent="0.2">
      <c r="B119" s="53" t="s">
        <v>211</v>
      </c>
      <c r="C119" s="149">
        <f>C118/C115</f>
        <v>3.3192844173274158E-2</v>
      </c>
      <c r="D119" s="149"/>
      <c r="E119" s="149"/>
      <c r="F119" s="149">
        <f t="shared" ref="F119:I119" si="61">F118/F115</f>
        <v>4.3344437665845503E-2</v>
      </c>
      <c r="G119" s="149">
        <f t="shared" si="61"/>
        <v>1.30109800503893E-2</v>
      </c>
      <c r="H119" s="149">
        <f t="shared" si="61"/>
        <v>0.47897278775973751</v>
      </c>
      <c r="I119" s="150">
        <f t="shared" si="61"/>
        <v>3.7989711452672721E-2</v>
      </c>
      <c r="J119" s="81"/>
      <c r="K119" s="81"/>
    </row>
    <row r="120" spans="2:11" x14ac:dyDescent="0.2">
      <c r="B120" s="53" t="s">
        <v>212</v>
      </c>
      <c r="C120" s="148">
        <f>'Aramex Courier'!$N$15</f>
        <v>91549.3736928258</v>
      </c>
      <c r="D120" s="148"/>
      <c r="E120" s="148"/>
      <c r="F120" s="148">
        <f>'Aramex Freight'!$N$14</f>
        <v>22324.522098056299</v>
      </c>
      <c r="G120" s="148">
        <f>'Aramex Logistics'!$N$14</f>
        <v>23769.0877004912</v>
      </c>
      <c r="H120" s="148">
        <f>(5650.368148585)*(('2025 IR Data Book'!$A$5))</f>
        <v>5650.3681485850002</v>
      </c>
      <c r="I120" s="114">
        <f>C120+F120+G120+H120</f>
        <v>143293.3516399583</v>
      </c>
      <c r="J120" s="81"/>
      <c r="K120" s="81"/>
    </row>
    <row r="121" spans="2:11" x14ac:dyDescent="0.2">
      <c r="B121" s="115" t="s">
        <v>213</v>
      </c>
      <c r="C121" s="151">
        <f>C120/C115</f>
        <v>0.10033618906562355</v>
      </c>
      <c r="D121" s="151"/>
      <c r="E121" s="151"/>
      <c r="F121" s="151">
        <f t="shared" ref="F121:I121" si="62">F120/F115</f>
        <v>6.2253025850268109E-2</v>
      </c>
      <c r="G121" s="151">
        <f t="shared" si="62"/>
        <v>0.2237795563884093</v>
      </c>
      <c r="H121" s="151">
        <f t="shared" si="62"/>
        <v>0.48764571534436613</v>
      </c>
      <c r="I121" s="151">
        <f t="shared" si="62"/>
        <v>0.10317490039111406</v>
      </c>
      <c r="J121" s="81"/>
      <c r="K121" s="81"/>
    </row>
    <row r="122" spans="2:11" x14ac:dyDescent="0.2">
      <c r="J122" s="81"/>
      <c r="K122" s="81"/>
    </row>
    <row r="123" spans="2:11" x14ac:dyDescent="0.2">
      <c r="J123" s="81"/>
      <c r="K123" s="81"/>
    </row>
    <row r="124" spans="2:11" x14ac:dyDescent="0.2">
      <c r="J124" s="81"/>
      <c r="K124" s="81"/>
    </row>
    <row r="125" spans="2:11" x14ac:dyDescent="0.2">
      <c r="B125" s="112"/>
      <c r="C125" s="277" t="s">
        <v>30</v>
      </c>
      <c r="D125" s="277"/>
      <c r="E125" s="277"/>
      <c r="F125" s="277"/>
      <c r="G125" s="277"/>
      <c r="H125" s="277"/>
      <c r="I125" s="277"/>
      <c r="J125" s="81"/>
      <c r="K125" s="81"/>
    </row>
    <row r="126" spans="2:11" x14ac:dyDescent="0.2">
      <c r="B126" s="112"/>
      <c r="C126" s="124" t="s">
        <v>253</v>
      </c>
      <c r="D126" s="124" t="s">
        <v>254</v>
      </c>
      <c r="E126" s="124" t="s">
        <v>237</v>
      </c>
      <c r="F126" s="124" t="s">
        <v>255</v>
      </c>
      <c r="G126" s="124" t="s">
        <v>256</v>
      </c>
      <c r="H126" s="124" t="s">
        <v>257</v>
      </c>
      <c r="I126" s="124" t="s">
        <v>246</v>
      </c>
      <c r="J126" s="81"/>
      <c r="K126" s="81"/>
    </row>
    <row r="127" spans="2:11" x14ac:dyDescent="0.2">
      <c r="B127" s="51" t="s">
        <v>258</v>
      </c>
      <c r="C127" s="113">
        <f>'Aramex Courier'!$O$7</f>
        <v>864547.81179542595</v>
      </c>
      <c r="D127" s="113">
        <f>'Aramex Express+Parcel Forwardin'!$O$7</f>
        <v>511950.95374506398</v>
      </c>
      <c r="E127" s="113">
        <f>'Aramex Domestic'!$O$7</f>
        <v>352596.85805036197</v>
      </c>
      <c r="F127" s="113">
        <f>'Aramex Freight'!$O$7</f>
        <v>367911.179337307</v>
      </c>
      <c r="G127" s="113">
        <f>'Aramex Logistics'!$O$7</f>
        <v>104813.010850659</v>
      </c>
      <c r="H127" s="113">
        <f>(12405.7948016625)*(('2025 IR Data Book'!$A$5))</f>
        <v>12405.7948016625</v>
      </c>
      <c r="I127" s="113">
        <f>C127+F127+G127+H127</f>
        <v>1349677.7967850545</v>
      </c>
      <c r="J127" s="81"/>
      <c r="K127" s="81"/>
    </row>
    <row r="128" spans="2:11" x14ac:dyDescent="0.2">
      <c r="B128" s="52" t="s">
        <v>207</v>
      </c>
      <c r="C128" s="114">
        <f>'Aramex Courier'!$O$10</f>
        <v>254674.37604838191</v>
      </c>
      <c r="D128" s="114">
        <f>'Aramex Express+Parcel Forwardin'!$O$10</f>
        <v>182510.20025704399</v>
      </c>
      <c r="E128" s="114">
        <f>'Aramex Domestic'!$O$9</f>
        <v>72164.17579133797</v>
      </c>
      <c r="F128" s="114">
        <f>'Aramex Freight'!$O$9</f>
        <v>58314.131278779998</v>
      </c>
      <c r="G128" s="114">
        <f>'Aramex Logistics'!$O$9</f>
        <v>11651.44184056911</v>
      </c>
      <c r="H128" s="114">
        <f>10016.5559282687*(('2025 IR Data Book'!$A$5))</f>
        <v>10016.555928268701</v>
      </c>
      <c r="I128" s="114">
        <f>C128+F128+G128+H128</f>
        <v>334656.50509599969</v>
      </c>
      <c r="J128" s="81"/>
      <c r="K128" s="81"/>
    </row>
    <row r="129" spans="2:12" x14ac:dyDescent="0.2">
      <c r="B129" s="53" t="s">
        <v>208</v>
      </c>
      <c r="C129" s="149">
        <f>C128/C127</f>
        <v>0.29457523641115219</v>
      </c>
      <c r="D129" s="149">
        <f t="shared" ref="D129:I129" si="63">D128/D127</f>
        <v>0.3564993851890127</v>
      </c>
      <c r="E129" s="149">
        <f t="shared" si="63"/>
        <v>0.20466482937584954</v>
      </c>
      <c r="F129" s="149">
        <f t="shared" si="63"/>
        <v>0.15850056903358364</v>
      </c>
      <c r="G129" s="149">
        <f t="shared" si="63"/>
        <v>0.11116407921121992</v>
      </c>
      <c r="H129" s="149">
        <f t="shared" si="63"/>
        <v>0.80740944763380929</v>
      </c>
      <c r="I129" s="150">
        <f t="shared" si="63"/>
        <v>0.24795288615783315</v>
      </c>
      <c r="J129" s="81"/>
      <c r="K129" s="81"/>
    </row>
    <row r="130" spans="2:12" x14ac:dyDescent="0.2">
      <c r="B130" s="53" t="s">
        <v>259</v>
      </c>
      <c r="C130" s="114">
        <f>'Aramex Courier'!$O$13</f>
        <v>26387.314747738001</v>
      </c>
      <c r="D130" s="114"/>
      <c r="E130" s="114"/>
      <c r="F130" s="114">
        <f>'Aramex Freight'!$O$12</f>
        <v>17185.212545005201</v>
      </c>
      <c r="G130" s="114">
        <f>'Aramex Logistics'!$O$12</f>
        <v>-3093.0730173034399</v>
      </c>
      <c r="H130" s="114">
        <f>4227.72068270248*(('2025 IR Data Book'!$A$5))</f>
        <v>4227.7206827024802</v>
      </c>
      <c r="I130" s="114">
        <f>C130+F130+G130+H130</f>
        <v>44707.174958142241</v>
      </c>
      <c r="J130" s="81"/>
      <c r="K130" s="81"/>
    </row>
    <row r="131" spans="2:12" x14ac:dyDescent="0.2">
      <c r="B131" s="53" t="s">
        <v>211</v>
      </c>
      <c r="C131" s="149">
        <f>C130/C127</f>
        <v>3.0521521641398722E-2</v>
      </c>
      <c r="D131" s="149"/>
      <c r="E131" s="149"/>
      <c r="F131" s="149">
        <f t="shared" ref="F131:I131" si="64">F130/F127</f>
        <v>4.6710221135328744E-2</v>
      </c>
      <c r="G131" s="149">
        <f t="shared" si="64"/>
        <v>-2.9510391813002596E-2</v>
      </c>
      <c r="H131" s="149">
        <f t="shared" si="64"/>
        <v>0.3407859593273237</v>
      </c>
      <c r="I131" s="150">
        <f t="shared" si="64"/>
        <v>3.3124331647623725E-2</v>
      </c>
      <c r="J131" s="81"/>
      <c r="K131" s="81"/>
    </row>
    <row r="132" spans="2:12" x14ac:dyDescent="0.2">
      <c r="B132" s="53" t="s">
        <v>212</v>
      </c>
      <c r="C132" s="148">
        <f>'Aramex Courier'!$O$15</f>
        <v>85837.315967298899</v>
      </c>
      <c r="D132" s="148"/>
      <c r="E132" s="148"/>
      <c r="F132" s="148">
        <f>'Aramex Freight'!$O$14</f>
        <v>24013.728819716001</v>
      </c>
      <c r="G132" s="148">
        <f>'Aramex Logistics'!$O$14</f>
        <v>19534.344618594601</v>
      </c>
      <c r="H132" s="148">
        <f>(4479.7297055112)*(('2025 IR Data Book'!$A$5))</f>
        <v>4479.7297055112003</v>
      </c>
      <c r="I132" s="114">
        <f>C132+F132+G132+H132</f>
        <v>133865.1191111207</v>
      </c>
      <c r="J132" s="81"/>
      <c r="K132" s="81"/>
    </row>
    <row r="133" spans="2:12" x14ac:dyDescent="0.2">
      <c r="B133" s="115" t="s">
        <v>213</v>
      </c>
      <c r="C133" s="151">
        <f>C132/C127</f>
        <v>9.9285794025709931E-2</v>
      </c>
      <c r="D133" s="151"/>
      <c r="E133" s="151"/>
      <c r="F133" s="151">
        <f t="shared" ref="F133:I133" si="65">F132/F127</f>
        <v>6.5270451588261794E-2</v>
      </c>
      <c r="G133" s="151">
        <f t="shared" si="65"/>
        <v>0.1863732799969631</v>
      </c>
      <c r="H133" s="151">
        <f t="shared" si="65"/>
        <v>0.36109977451109154</v>
      </c>
      <c r="I133" s="151">
        <f t="shared" si="65"/>
        <v>9.918301940654925E-2</v>
      </c>
      <c r="J133" s="81"/>
      <c r="K133" s="81"/>
    </row>
    <row r="134" spans="2:12" x14ac:dyDescent="0.2">
      <c r="J134" s="81"/>
      <c r="K134" s="81"/>
    </row>
    <row r="135" spans="2:12" x14ac:dyDescent="0.2">
      <c r="J135" s="81"/>
      <c r="K135" s="81"/>
    </row>
    <row r="136" spans="2:12" x14ac:dyDescent="0.2">
      <c r="J136" s="81"/>
      <c r="K136" s="81"/>
    </row>
    <row r="137" spans="2:12" x14ac:dyDescent="0.2">
      <c r="B137" s="112"/>
      <c r="C137" s="277" t="s">
        <v>31</v>
      </c>
      <c r="D137" s="277"/>
      <c r="E137" s="277"/>
      <c r="F137" s="277"/>
      <c r="G137" s="277"/>
      <c r="H137" s="277"/>
      <c r="I137" s="277"/>
      <c r="J137" s="81"/>
      <c r="K137" s="81"/>
    </row>
    <row r="138" spans="2:12" x14ac:dyDescent="0.2">
      <c r="B138" s="112"/>
      <c r="C138" s="124" t="s">
        <v>253</v>
      </c>
      <c r="D138" s="124" t="s">
        <v>263</v>
      </c>
      <c r="E138" s="124" t="s">
        <v>237</v>
      </c>
      <c r="F138" s="124" t="s">
        <v>255</v>
      </c>
      <c r="G138" s="124" t="s">
        <v>256</v>
      </c>
      <c r="H138" s="124" t="s">
        <v>257</v>
      </c>
      <c r="I138" s="124" t="s">
        <v>246</v>
      </c>
      <c r="J138" s="81"/>
      <c r="K138" s="81"/>
    </row>
    <row r="139" spans="2:12" x14ac:dyDescent="0.2">
      <c r="B139" s="51" t="s">
        <v>258</v>
      </c>
      <c r="C139" s="113">
        <f>'Aramex Courier'!$P$7</f>
        <v>1017564.2383886555</v>
      </c>
      <c r="D139" s="113">
        <f>'Aramex Express+Parcel Forwardin'!$P$7</f>
        <v>655838.6843325448</v>
      </c>
      <c r="E139" s="113">
        <f>'Aramex Domestic'!$P$7</f>
        <v>361725.5540561105</v>
      </c>
      <c r="F139" s="113">
        <f>'Aramex Freight'!$P$7</f>
        <v>383916.58819229621</v>
      </c>
      <c r="G139" s="113">
        <f>'Aramex Logistics'!$P$7</f>
        <v>110853.62144526535</v>
      </c>
      <c r="H139" s="113">
        <f>('[18]Sum Per Produc-23 Vs 22 Express'!$AB$5*3.6726)*(('2025 IR Data Book'!$A$5))</f>
        <v>11674.506878551807</v>
      </c>
      <c r="I139" s="113">
        <f>C139+F139+G139+H139</f>
        <v>1524008.9549047688</v>
      </c>
      <c r="J139" s="81"/>
      <c r="K139" s="81"/>
      <c r="L139" s="28"/>
    </row>
    <row r="140" spans="2:12" x14ac:dyDescent="0.2">
      <c r="B140" s="52" t="s">
        <v>207</v>
      </c>
      <c r="C140" s="114">
        <f>'Aramex Courier'!$P$10</f>
        <v>304045.68823982065</v>
      </c>
      <c r="D140" s="114">
        <f>'Aramex Express+Parcel Forwardin'!$P$10</f>
        <v>225611.2722676667</v>
      </c>
      <c r="E140" s="114">
        <f>'Aramex Domestic'!$P$9</f>
        <v>78434.415972153889</v>
      </c>
      <c r="F140" s="114">
        <f>'Aramex Freight'!$P$9</f>
        <v>53272.315856380446</v>
      </c>
      <c r="G140" s="114">
        <f>'Aramex Logistics'!$P$9</f>
        <v>21131.031266597944</v>
      </c>
      <c r="H140" s="114">
        <f>('[18]Sum Per Produc-23 Vs 22 Express'!$AB$11*3.6726)*(('2025 IR Data Book'!$A$5))</f>
        <v>10278.243474218287</v>
      </c>
      <c r="I140" s="114">
        <f>C140+F140+G140+H140</f>
        <v>388727.27883701737</v>
      </c>
      <c r="J140" s="81"/>
      <c r="K140" s="81"/>
    </row>
    <row r="141" spans="2:12" x14ac:dyDescent="0.2">
      <c r="B141" s="53" t="s">
        <v>208</v>
      </c>
      <c r="C141" s="149">
        <f>C140/C139</f>
        <v>0.29879753706880113</v>
      </c>
      <c r="D141" s="149">
        <f t="shared" ref="D141:I141" si="66">D140/D139</f>
        <v>0.34400421575813894</v>
      </c>
      <c r="E141" s="149">
        <f t="shared" si="66"/>
        <v>0.21683404750549423</v>
      </c>
      <c r="F141" s="149">
        <f t="shared" si="66"/>
        <v>0.1387601304419214</v>
      </c>
      <c r="G141" s="149">
        <f t="shared" si="66"/>
        <v>0.19062102790238133</v>
      </c>
      <c r="H141" s="149">
        <f t="shared" si="66"/>
        <v>0.88040065256214717</v>
      </c>
      <c r="I141" s="150">
        <f t="shared" si="66"/>
        <v>0.25506889417280876</v>
      </c>
      <c r="J141" s="81"/>
      <c r="K141" s="81"/>
    </row>
    <row r="142" spans="2:12" x14ac:dyDescent="0.2">
      <c r="B142" s="53" t="s">
        <v>259</v>
      </c>
      <c r="C142" s="114">
        <f>'Aramex Courier'!$P$13</f>
        <v>73397.54654912214</v>
      </c>
      <c r="D142" s="114"/>
      <c r="E142" s="114"/>
      <c r="F142" s="114">
        <f>'Aramex Freight'!$P$12</f>
        <v>10563.819593713124</v>
      </c>
      <c r="G142" s="114">
        <f>'Aramex Logistics'!$P$12</f>
        <v>17032.954071533721</v>
      </c>
      <c r="H142" s="114">
        <f>'[18]Sum Per Produc-23 Vs 22 Express'!$AB$18*3.6726*(('2025 IR Data Book'!$A$5))</f>
        <v>5197.1036584980648</v>
      </c>
      <c r="I142" s="114">
        <f>C142+F142+G142+H142</f>
        <v>106191.42387286705</v>
      </c>
      <c r="J142" s="81"/>
      <c r="K142" s="81"/>
    </row>
    <row r="143" spans="2:12" x14ac:dyDescent="0.2">
      <c r="B143" s="53" t="s">
        <v>211</v>
      </c>
      <c r="C143" s="149">
        <f>C142/C139</f>
        <v>7.2130627021002064E-2</v>
      </c>
      <c r="D143" s="149"/>
      <c r="E143" s="149"/>
      <c r="F143" s="149">
        <f t="shared" ref="F143:I143" si="67">F142/F139</f>
        <v>2.7515923819425889E-2</v>
      </c>
      <c r="G143" s="149">
        <f t="shared" si="67"/>
        <v>0.15365266239807823</v>
      </c>
      <c r="H143" s="149">
        <f t="shared" si="67"/>
        <v>0.44516686765126584</v>
      </c>
      <c r="I143" s="150">
        <f t="shared" si="67"/>
        <v>6.9679002561702577E-2</v>
      </c>
      <c r="J143" s="81"/>
      <c r="K143" s="81"/>
    </row>
    <row r="144" spans="2:12" x14ac:dyDescent="0.2">
      <c r="B144" s="53" t="s">
        <v>212</v>
      </c>
      <c r="C144" s="148">
        <f>'Aramex Courier'!$P$15</f>
        <v>133617.83220798097</v>
      </c>
      <c r="D144" s="148"/>
      <c r="E144" s="148"/>
      <c r="F144" s="148">
        <f>'Aramex Freight'!$P$14</f>
        <v>18320.11676864863</v>
      </c>
      <c r="G144" s="148">
        <f>'Aramex Logistics'!$P$14</f>
        <v>40019.792677305806</v>
      </c>
      <c r="H144" s="148">
        <f>('[18]Sum Per Produc-23 Vs 22 Express'!$AB$22*3.6726)*(('2025 IR Data Book'!$A$5))</f>
        <v>5451.3976536909386</v>
      </c>
      <c r="I144" s="114">
        <f>C144+F144+G144+H144</f>
        <v>197409.13930762635</v>
      </c>
      <c r="J144" s="81"/>
      <c r="K144" s="81"/>
    </row>
    <row r="145" spans="2:12" x14ac:dyDescent="0.2">
      <c r="B145" s="115" t="s">
        <v>213</v>
      </c>
      <c r="C145" s="151">
        <f>C144/C139</f>
        <v>0.13131144665576</v>
      </c>
      <c r="D145" s="151"/>
      <c r="E145" s="151"/>
      <c r="F145" s="151">
        <f t="shared" ref="F145:I145" si="68">F144/F139</f>
        <v>4.7719002856611258E-2</v>
      </c>
      <c r="G145" s="151">
        <f t="shared" si="68"/>
        <v>0.36101475220695267</v>
      </c>
      <c r="H145" s="151">
        <f t="shared" si="68"/>
        <v>0.4669488579176006</v>
      </c>
      <c r="I145" s="151">
        <f t="shared" si="68"/>
        <v>0.1295327948515643</v>
      </c>
      <c r="J145" s="81"/>
      <c r="K145" s="81"/>
    </row>
    <row r="146" spans="2:12" x14ac:dyDescent="0.2">
      <c r="J146" s="81"/>
      <c r="K146" s="81"/>
    </row>
    <row r="147" spans="2:12" x14ac:dyDescent="0.2">
      <c r="J147" s="81"/>
      <c r="K147" s="81"/>
    </row>
    <row r="148" spans="2:12" x14ac:dyDescent="0.2">
      <c r="B148" s="112"/>
      <c r="C148" s="277" t="s">
        <v>33</v>
      </c>
      <c r="D148" s="277"/>
      <c r="E148" s="277"/>
      <c r="F148" s="277"/>
      <c r="G148" s="277"/>
      <c r="H148" s="277"/>
      <c r="I148" s="277"/>
      <c r="J148" s="81"/>
      <c r="K148" s="81"/>
    </row>
    <row r="149" spans="2:12" x14ac:dyDescent="0.2">
      <c r="B149" s="112"/>
      <c r="C149" s="124" t="s">
        <v>253</v>
      </c>
      <c r="D149" s="124" t="s">
        <v>263</v>
      </c>
      <c r="E149" s="124" t="s">
        <v>237</v>
      </c>
      <c r="F149" s="124" t="s">
        <v>255</v>
      </c>
      <c r="G149" s="124" t="s">
        <v>256</v>
      </c>
      <c r="H149" s="124" t="s">
        <v>257</v>
      </c>
      <c r="I149" s="124" t="s">
        <v>246</v>
      </c>
      <c r="J149" s="81"/>
      <c r="K149" s="81"/>
    </row>
    <row r="150" spans="2:12" x14ac:dyDescent="0.2">
      <c r="B150" s="51" t="s">
        <v>258</v>
      </c>
      <c r="C150" s="113">
        <f>'Aramex Courier'!$R$7</f>
        <v>1026009.5879454871</v>
      </c>
      <c r="D150" s="113">
        <f>'Aramex Express+Parcel Forwardin'!$R$7</f>
        <v>645805.18974832539</v>
      </c>
      <c r="E150" s="113">
        <f>'Aramex Domestic'!$R$7</f>
        <v>380204.39819716167</v>
      </c>
      <c r="F150" s="113">
        <f>'Aramex Freight'!$R$7</f>
        <v>398539.65313426586</v>
      </c>
      <c r="G150" s="113">
        <f>'Aramex Logistics'!$R$7</f>
        <v>106603.32080905201</v>
      </c>
      <c r="H150" s="113">
        <f>('[19]Sum Per Produc-24 Vs 23 Express'!$AB$5*3.6726)*(('2025 IR Data Book'!$A$5))</f>
        <v>9548.0959801750214</v>
      </c>
      <c r="I150" s="113">
        <f>C150+F150+G150+H150</f>
        <v>1540700.6578689802</v>
      </c>
      <c r="J150" s="81"/>
      <c r="K150" s="81"/>
      <c r="L150" s="28"/>
    </row>
    <row r="151" spans="2:12" x14ac:dyDescent="0.2">
      <c r="B151" s="52" t="s">
        <v>207</v>
      </c>
      <c r="C151" s="114">
        <f>'Aramex Courier'!$R$10</f>
        <v>313946.92922179133</v>
      </c>
      <c r="D151" s="114">
        <f>'Aramex Express+Parcel Forwardin'!$R$10</f>
        <v>219142.13096459123</v>
      </c>
      <c r="E151" s="114">
        <f>'Aramex Domestic'!$R$9</f>
        <v>94804.805639126163</v>
      </c>
      <c r="F151" s="114">
        <f>'Aramex Freight'!$R$9</f>
        <v>56537.211992153141</v>
      </c>
      <c r="G151" s="114">
        <f>'Aramex Logistics'!$R$9</f>
        <v>16330.483022870321</v>
      </c>
      <c r="H151" s="114">
        <f>('[19]Sum Per Produc-24 Vs 23 Express'!$AB$11*3.6726)*(('2025 IR Data Book'!$A$5))</f>
        <v>8586.0053854184862</v>
      </c>
      <c r="I151" s="114">
        <f>C151+F151+G151+H151</f>
        <v>395400.62962223327</v>
      </c>
      <c r="J151" s="81"/>
      <c r="K151" s="81"/>
    </row>
    <row r="152" spans="2:12" x14ac:dyDescent="0.2">
      <c r="B152" s="53" t="s">
        <v>208</v>
      </c>
      <c r="C152" s="149">
        <f>C151/C150</f>
        <v>0.30598829963221713</v>
      </c>
      <c r="D152" s="149">
        <f t="shared" ref="D152:I152" si="69">D151/D150</f>
        <v>0.33933163505544511</v>
      </c>
      <c r="E152" s="149">
        <f t="shared" si="69"/>
        <v>0.24935220657274845</v>
      </c>
      <c r="F152" s="149">
        <f t="shared" si="69"/>
        <v>0.14186094544802061</v>
      </c>
      <c r="G152" s="149">
        <f t="shared" si="69"/>
        <v>0.15318925244478548</v>
      </c>
      <c r="H152" s="149">
        <f t="shared" si="69"/>
        <v>0.8992374399299975</v>
      </c>
      <c r="I152" s="150">
        <f t="shared" si="69"/>
        <v>0.25663689283363555</v>
      </c>
      <c r="J152" s="81"/>
      <c r="K152" s="81"/>
    </row>
    <row r="153" spans="2:12" x14ac:dyDescent="0.2">
      <c r="B153" s="53" t="s">
        <v>259</v>
      </c>
      <c r="C153" s="114">
        <f>'Aramex Courier'!$R$13</f>
        <v>78737.773161394885</v>
      </c>
      <c r="D153" s="114"/>
      <c r="E153" s="114"/>
      <c r="F153" s="114">
        <f>'Aramex Freight'!$R$12</f>
        <v>12493.599580943153</v>
      </c>
      <c r="G153" s="114">
        <f>'Aramex Logistics'!$R$12</f>
        <v>-1301.1120517398142</v>
      </c>
      <c r="H153" s="114">
        <f>'[19]Sum Per Produc-24 Vs 23 Express'!$AB$18*3.6726*(('2025 IR Data Book'!$A$5))</f>
        <v>2476.5729549431794</v>
      </c>
      <c r="I153" s="114">
        <f>C153+F153+G153+H153</f>
        <v>92406.83364554141</v>
      </c>
      <c r="J153" s="81"/>
      <c r="K153" s="81"/>
    </row>
    <row r="154" spans="2:12" x14ac:dyDescent="0.2">
      <c r="B154" s="53" t="s">
        <v>211</v>
      </c>
      <c r="C154" s="149">
        <f>C153/C150</f>
        <v>7.6741751818383885E-2</v>
      </c>
      <c r="D154" s="149"/>
      <c r="E154" s="149"/>
      <c r="F154" s="149">
        <f t="shared" ref="F154:I154" si="70">F153/F150</f>
        <v>3.1348447971710679E-2</v>
      </c>
      <c r="G154" s="149">
        <f t="shared" si="70"/>
        <v>-1.2205173740041059E-2</v>
      </c>
      <c r="H154" s="149">
        <f t="shared" si="70"/>
        <v>0.25937872431166981</v>
      </c>
      <c r="I154" s="150">
        <f t="shared" si="70"/>
        <v>5.9977149470004057E-2</v>
      </c>
      <c r="J154" s="81"/>
      <c r="K154" s="81"/>
    </row>
    <row r="155" spans="2:12" x14ac:dyDescent="0.2">
      <c r="B155" s="53" t="s">
        <v>212</v>
      </c>
      <c r="C155" s="148">
        <f>'Aramex Courier'!$R$15</f>
        <v>136923.42207457009</v>
      </c>
      <c r="D155" s="148"/>
      <c r="E155" s="148"/>
      <c r="F155" s="148">
        <f>'Aramex Freight'!$R$14</f>
        <v>19703.61063790827</v>
      </c>
      <c r="G155" s="148">
        <f>'Aramex Logistics'!$R$14</f>
        <v>21636.032459643153</v>
      </c>
      <c r="H155" s="148">
        <f>('[19]Sum Per Produc-24 Vs 23 Express'!$AB$22*3.6726)*(('2025 IR Data Book'!$A$5))</f>
        <v>2910.948813398526</v>
      </c>
      <c r="I155" s="114">
        <f>C155+F155+G155+H155</f>
        <v>181174.01398552003</v>
      </c>
      <c r="J155" s="81"/>
      <c r="K155" s="81"/>
    </row>
    <row r="156" spans="2:12" x14ac:dyDescent="0.2">
      <c r="B156" s="115" t="s">
        <v>213</v>
      </c>
      <c r="C156" s="151">
        <f>C155/C150</f>
        <v>0.13345238064368359</v>
      </c>
      <c r="D156" s="151"/>
      <c r="E156" s="151"/>
      <c r="F156" s="151">
        <f t="shared" ref="F156:I156" si="71">F155/F150</f>
        <v>4.9439523728571695E-2</v>
      </c>
      <c r="G156" s="151">
        <f t="shared" si="71"/>
        <v>0.20295833465073418</v>
      </c>
      <c r="H156" s="151">
        <f t="shared" si="71"/>
        <v>0.3048721775988229</v>
      </c>
      <c r="I156" s="151">
        <f t="shared" si="71"/>
        <v>0.11759196250108105</v>
      </c>
      <c r="J156" s="81"/>
      <c r="K156" s="81"/>
    </row>
    <row r="157" spans="2:12" x14ac:dyDescent="0.2">
      <c r="J157" s="81"/>
      <c r="K157" s="81"/>
    </row>
    <row r="158" spans="2:12" x14ac:dyDescent="0.2">
      <c r="J158" s="81"/>
      <c r="K158" s="81"/>
    </row>
    <row r="159" spans="2:12" x14ac:dyDescent="0.2">
      <c r="B159" s="112"/>
      <c r="C159" s="277" t="s">
        <v>34</v>
      </c>
      <c r="D159" s="277"/>
      <c r="E159" s="277"/>
      <c r="F159" s="277"/>
      <c r="G159" s="277"/>
      <c r="H159" s="277"/>
      <c r="I159" s="277"/>
      <c r="J159" s="81"/>
      <c r="K159" s="81"/>
    </row>
    <row r="160" spans="2:12" x14ac:dyDescent="0.2">
      <c r="B160" s="112"/>
      <c r="C160" s="124" t="s">
        <v>253</v>
      </c>
      <c r="D160" s="124" t="s">
        <v>263</v>
      </c>
      <c r="E160" s="124" t="s">
        <v>237</v>
      </c>
      <c r="F160" s="124" t="s">
        <v>255</v>
      </c>
      <c r="G160" s="124" t="s">
        <v>256</v>
      </c>
      <c r="H160" s="124" t="s">
        <v>257</v>
      </c>
      <c r="I160" s="124" t="s">
        <v>246</v>
      </c>
      <c r="J160" s="81"/>
      <c r="K160" s="81"/>
    </row>
    <row r="161" spans="2:12" x14ac:dyDescent="0.2">
      <c r="B161" s="51" t="s">
        <v>258</v>
      </c>
      <c r="C161" s="113">
        <f>'Aramex Courier'!$S$7</f>
        <v>965373.82602591906</v>
      </c>
      <c r="D161" s="113">
        <f>'Aramex Express+Parcel Forwardin'!$S$7</f>
        <v>589299.65836518747</v>
      </c>
      <c r="E161" s="113">
        <f>'Aramex Domestic'!$S$7</f>
        <v>376074.16766073165</v>
      </c>
      <c r="F161" s="113">
        <f>'Aramex Freight'!$S$7</f>
        <v>411266.27978867444</v>
      </c>
      <c r="G161" s="113">
        <f>'Aramex Logistics'!$S$7</f>
        <v>107670.97418342323</v>
      </c>
      <c r="H161" s="250">
        <f>('[20]Sum Per Produc-24 Vs 23 Express'!$AB$5*3.6726)*(('2025 IR Data Book'!$A$5))</f>
        <v>11943.636838058475</v>
      </c>
      <c r="I161" s="113">
        <f>C161+F161+G161+H161</f>
        <v>1496254.7168360751</v>
      </c>
      <c r="J161" s="81"/>
      <c r="K161" s="81"/>
      <c r="L161" s="28"/>
    </row>
    <row r="162" spans="2:12" x14ac:dyDescent="0.2">
      <c r="B162" s="52" t="s">
        <v>207</v>
      </c>
      <c r="C162" s="114">
        <f>'Aramex Courier'!$S$10</f>
        <v>269539.66726057744</v>
      </c>
      <c r="D162" s="114">
        <f>'Aramex Express+Parcel Forwardin'!$S$10</f>
        <v>188104.24204803747</v>
      </c>
      <c r="E162" s="114">
        <f>'Aramex Domestic'!$S$9</f>
        <v>81435.425212540082</v>
      </c>
      <c r="F162" s="114">
        <f>'Aramex Freight'!$S$9</f>
        <v>51919.799359971483</v>
      </c>
      <c r="G162" s="114">
        <f>'Aramex Logistics'!$S$9</f>
        <v>12356.048901247952</v>
      </c>
      <c r="H162" s="251">
        <f>('[20]Sum Per Produc-24 Vs 23 Express'!$AB$11*3.6726)*(('2025 IR Data Book'!$A$5))</f>
        <v>11315.774345182115</v>
      </c>
      <c r="I162" s="114">
        <f>C162+F162+G162+H162</f>
        <v>345131.289866979</v>
      </c>
      <c r="J162" s="81"/>
      <c r="K162" s="81"/>
      <c r="L162" s="28"/>
    </row>
    <row r="163" spans="2:12" x14ac:dyDescent="0.2">
      <c r="B163" s="53" t="s">
        <v>208</v>
      </c>
      <c r="C163" s="149">
        <f>C162/C161</f>
        <v>0.27920755669352554</v>
      </c>
      <c r="D163" s="149">
        <f t="shared" ref="D163:I163" si="72">D162/D161</f>
        <v>0.31919964550780339</v>
      </c>
      <c r="E163" s="149">
        <f t="shared" si="72"/>
        <v>0.21654086405106543</v>
      </c>
      <c r="F163" s="149">
        <f t="shared" si="72"/>
        <v>0.12624375474364205</v>
      </c>
      <c r="G163" s="149">
        <f t="shared" si="72"/>
        <v>0.1147574728932866</v>
      </c>
      <c r="H163" s="252">
        <f t="shared" si="72"/>
        <v>0.94743121367558059</v>
      </c>
      <c r="I163" s="150">
        <f t="shared" si="72"/>
        <v>0.2306634598932332</v>
      </c>
      <c r="J163" s="81"/>
      <c r="K163" s="81"/>
    </row>
    <row r="164" spans="2:12" x14ac:dyDescent="0.2">
      <c r="B164" s="53" t="s">
        <v>259</v>
      </c>
      <c r="C164" s="114">
        <f>'Aramex Courier'!$S$13</f>
        <v>30588.898608969641</v>
      </c>
      <c r="D164" s="114"/>
      <c r="E164" s="114"/>
      <c r="F164" s="114">
        <f>'Aramex Freight'!$S$12</f>
        <v>11645.296585062824</v>
      </c>
      <c r="G164" s="114">
        <f>'Aramex Logistics'!$S$12</f>
        <v>-1487.7897430703697</v>
      </c>
      <c r="H164" s="251">
        <f>'[20]Sum Per Produc-24 Vs 23 Express'!$AB$18*3.6726*(('2025 IR Data Book'!$A$5))</f>
        <v>6215.3313379207566</v>
      </c>
      <c r="I164" s="114">
        <f>C164+F164+G164+H164</f>
        <v>46961.736788882852</v>
      </c>
      <c r="J164" s="81"/>
      <c r="K164" s="81"/>
    </row>
    <row r="165" spans="2:12" x14ac:dyDescent="0.2">
      <c r="B165" s="53" t="s">
        <v>211</v>
      </c>
      <c r="C165" s="149">
        <f>C164/C161</f>
        <v>3.1686065837202806E-2</v>
      </c>
      <c r="D165" s="149"/>
      <c r="E165" s="149"/>
      <c r="F165" s="149">
        <f t="shared" ref="F165:I165" si="73">F164/F161</f>
        <v>2.8315709693113322E-2</v>
      </c>
      <c r="G165" s="149">
        <f t="shared" si="73"/>
        <v>-1.3817927759582084E-2</v>
      </c>
      <c r="H165" s="252">
        <f t="shared" si="73"/>
        <v>0.52038850663271707</v>
      </c>
      <c r="I165" s="150">
        <f t="shared" si="73"/>
        <v>3.138619130851357E-2</v>
      </c>
      <c r="J165" s="81"/>
      <c r="K165" s="81"/>
    </row>
    <row r="166" spans="2:12" x14ac:dyDescent="0.2">
      <c r="B166" s="53" t="s">
        <v>212</v>
      </c>
      <c r="C166" s="148">
        <f>'Aramex Courier'!$S$15</f>
        <v>88634.636520908709</v>
      </c>
      <c r="D166" s="148"/>
      <c r="E166" s="148"/>
      <c r="F166" s="148">
        <f>'Aramex Freight'!$S$14</f>
        <v>18337.502796972007</v>
      </c>
      <c r="G166" s="148">
        <f>'Aramex Logistics'!$S$14</f>
        <v>21469.161335585064</v>
      </c>
      <c r="H166" s="253">
        <f>('[20]Sum Per Produc-24 Vs 23 Express'!$AB$22*3.6726)*(('2025 IR Data Book'!$A$5))</f>
        <v>6488.59384939755</v>
      </c>
      <c r="I166" s="114">
        <f>C166+F166+G166+H166</f>
        <v>134929.89450286335</v>
      </c>
      <c r="J166" s="81"/>
      <c r="K166" s="81"/>
    </row>
    <row r="167" spans="2:12" x14ac:dyDescent="0.2">
      <c r="B167" s="115" t="s">
        <v>213</v>
      </c>
      <c r="C167" s="151">
        <f>C166/C161</f>
        <v>9.1813797030093694E-2</v>
      </c>
      <c r="D167" s="151"/>
      <c r="E167" s="151"/>
      <c r="F167" s="151">
        <f t="shared" ref="F167:I167" si="74">F166/F161</f>
        <v>4.4587907392734875E-2</v>
      </c>
      <c r="G167" s="151">
        <f t="shared" si="74"/>
        <v>0.19939599783885309</v>
      </c>
      <c r="H167" s="254">
        <f t="shared" si="74"/>
        <v>0.54326784524472516</v>
      </c>
      <c r="I167" s="151">
        <f t="shared" si="74"/>
        <v>9.0178425494411213E-2</v>
      </c>
      <c r="J167" s="81"/>
      <c r="K167" s="81"/>
    </row>
    <row r="170" spans="2:12" x14ac:dyDescent="0.2">
      <c r="B170" s="112"/>
      <c r="C170" s="277" t="s">
        <v>35</v>
      </c>
      <c r="D170" s="277"/>
      <c r="E170" s="277"/>
      <c r="F170" s="277"/>
      <c r="G170" s="277"/>
      <c r="H170" s="277"/>
      <c r="I170" s="277"/>
      <c r="J170" s="81"/>
      <c r="K170" s="81"/>
    </row>
    <row r="171" spans="2:12" x14ac:dyDescent="0.2">
      <c r="B171" s="112"/>
      <c r="C171" s="124" t="s">
        <v>253</v>
      </c>
      <c r="D171" s="124" t="s">
        <v>263</v>
      </c>
      <c r="E171" s="124" t="s">
        <v>237</v>
      </c>
      <c r="F171" s="124" t="s">
        <v>255</v>
      </c>
      <c r="G171" s="124" t="s">
        <v>256</v>
      </c>
      <c r="H171" s="124" t="s">
        <v>257</v>
      </c>
      <c r="I171" s="124" t="s">
        <v>246</v>
      </c>
      <c r="J171" s="81"/>
      <c r="K171" s="81"/>
    </row>
    <row r="172" spans="2:12" x14ac:dyDescent="0.2">
      <c r="B172" s="51" t="s">
        <v>258</v>
      </c>
      <c r="C172" s="113">
        <f>'Aramex Courier'!$T$7</f>
        <v>1010952.3755746039</v>
      </c>
      <c r="D172" s="113">
        <f>'Aramex Express+Parcel Forwardin'!$T$7</f>
        <v>562319.07676528848</v>
      </c>
      <c r="E172" s="113">
        <f>'Aramex Domestic'!$T$7</f>
        <v>448633.29880931566</v>
      </c>
      <c r="F172" s="113">
        <f>'Aramex Freight'!$T$7</f>
        <v>449685.85641793784</v>
      </c>
      <c r="G172" s="113">
        <f>'Aramex Logistics'!$T$7</f>
        <v>118313.46157182082</v>
      </c>
      <c r="H172" s="250">
        <f>('[21]Sum Per Produc-24 Vs 23 Express'!$AB$5*3.6726)*(('2025 IR Data Book'!$A$5))</f>
        <v>13404.403594972318</v>
      </c>
      <c r="I172" s="113">
        <f>C172+F172+G172+H172</f>
        <v>1592356.0971593349</v>
      </c>
      <c r="J172" s="81"/>
      <c r="K172" s="81"/>
      <c r="L172" s="28"/>
    </row>
    <row r="173" spans="2:12" x14ac:dyDescent="0.2">
      <c r="B173" s="52" t="s">
        <v>207</v>
      </c>
      <c r="C173" s="114">
        <f>'Aramex Courier'!$T$10</f>
        <v>287293.66340801294</v>
      </c>
      <c r="D173" s="114">
        <f>'Aramex Express+Parcel Forwardin'!$T$10</f>
        <v>178700.46171639429</v>
      </c>
      <c r="E173" s="114">
        <f>'Aramex Domestic'!$T$9</f>
        <v>108593.20169161889</v>
      </c>
      <c r="F173" s="114">
        <f>'Aramex Freight'!$T$9</f>
        <v>53460.511316272197</v>
      </c>
      <c r="G173" s="114">
        <f>'Aramex Logistics'!$T$9</f>
        <v>20661.95762161375</v>
      </c>
      <c r="H173" s="251">
        <f>('[21]Sum Per Produc-24 Vs 23 Express'!$AB$11*3.6726)*(('2025 IR Data Book'!$A$5))</f>
        <v>11645.833889982061</v>
      </c>
      <c r="I173" s="114">
        <f>C173+F173+G173+H173</f>
        <v>373061.96623588097</v>
      </c>
      <c r="J173" s="81"/>
      <c r="K173" s="81"/>
    </row>
    <row r="174" spans="2:12" x14ac:dyDescent="0.2">
      <c r="B174" s="53" t="s">
        <v>208</v>
      </c>
      <c r="C174" s="149">
        <f>C173/C172</f>
        <v>0.28418120412914732</v>
      </c>
      <c r="D174" s="149">
        <f t="shared" ref="D174:I174" si="75">D173/D172</f>
        <v>0.31779192472778889</v>
      </c>
      <c r="E174" s="149">
        <f t="shared" si="75"/>
        <v>0.24205336960013454</v>
      </c>
      <c r="F174" s="149">
        <f t="shared" si="75"/>
        <v>0.118884128894163</v>
      </c>
      <c r="G174" s="149">
        <f t="shared" si="75"/>
        <v>0.17463741950505901</v>
      </c>
      <c r="H174" s="252">
        <f t="shared" si="75"/>
        <v>0.86880656848844384</v>
      </c>
      <c r="I174" s="150">
        <f t="shared" si="75"/>
        <v>0.23428300171136376</v>
      </c>
      <c r="J174" s="81"/>
      <c r="K174" s="81"/>
    </row>
    <row r="175" spans="2:12" x14ac:dyDescent="0.2">
      <c r="B175" s="53" t="s">
        <v>259</v>
      </c>
      <c r="C175" s="114">
        <f>'Aramex Courier'!$T$13</f>
        <v>43169.791456610197</v>
      </c>
      <c r="D175" s="114"/>
      <c r="E175" s="114"/>
      <c r="F175" s="114">
        <f>'Aramex Freight'!$T$12</f>
        <v>12509.448814519623</v>
      </c>
      <c r="G175" s="114">
        <f>'Aramex Logistics'!$T$12</f>
        <v>6571.9313616767104</v>
      </c>
      <c r="H175" s="251">
        <f>'[21]Sum Per Produc-24 Vs 23 Express'!$AB$18*3.6726*(('2025 IR Data Book'!$A$5))</f>
        <v>5870.4436051350885</v>
      </c>
      <c r="I175" s="114">
        <f>C175+F175+G175+H175</f>
        <v>68121.615237941616</v>
      </c>
      <c r="J175" s="81"/>
      <c r="K175" s="81"/>
    </row>
    <row r="176" spans="2:12" x14ac:dyDescent="0.2">
      <c r="B176" s="53" t="s">
        <v>211</v>
      </c>
      <c r="C176" s="149">
        <f>C175/C172</f>
        <v>4.2702101997706271E-2</v>
      </c>
      <c r="D176" s="149"/>
      <c r="E176" s="149"/>
      <c r="F176" s="149">
        <f t="shared" ref="F176:I176" si="76">F175/F172</f>
        <v>2.7818194937608502E-2</v>
      </c>
      <c r="G176" s="149">
        <f t="shared" si="76"/>
        <v>5.5546776118009997E-2</v>
      </c>
      <c r="H176" s="252">
        <f t="shared" si="76"/>
        <v>0.43794888474836402</v>
      </c>
      <c r="I176" s="150">
        <f t="shared" si="76"/>
        <v>4.2780390240264962E-2</v>
      </c>
      <c r="J176" s="81"/>
      <c r="K176" s="81"/>
    </row>
    <row r="177" spans="2:12" x14ac:dyDescent="0.2">
      <c r="B177" s="53" t="s">
        <v>212</v>
      </c>
      <c r="C177" s="148">
        <f>'Aramex Courier'!$T$15</f>
        <v>101610.70780267035</v>
      </c>
      <c r="D177" s="148"/>
      <c r="E177" s="148"/>
      <c r="F177" s="148">
        <f>'Aramex Freight'!$T$14</f>
        <v>19815.518862553392</v>
      </c>
      <c r="G177" s="148">
        <f>'Aramex Logistics'!$T$14</f>
        <v>29194.113705092088</v>
      </c>
      <c r="H177" s="253">
        <f>('[21]Sum Per Produc-24 Vs 23 Express'!$AB$22*3.6726)*(('2025 IR Data Book'!$A$5))</f>
        <v>6149.5757606880852</v>
      </c>
      <c r="I177" s="114">
        <f>C177+F177+G177+H177</f>
        <v>156769.91613100391</v>
      </c>
      <c r="J177" s="81"/>
      <c r="K177" s="81"/>
    </row>
    <row r="178" spans="2:12" x14ac:dyDescent="0.2">
      <c r="B178" s="115" t="s">
        <v>213</v>
      </c>
      <c r="C178" s="151">
        <f>C177/C172</f>
        <v>0.10050988578459691</v>
      </c>
      <c r="D178" s="151"/>
      <c r="E178" s="151"/>
      <c r="F178" s="151">
        <f t="shared" ref="F178:I178" si="77">F177/F172</f>
        <v>4.4065248172130318E-2</v>
      </c>
      <c r="G178" s="151">
        <f t="shared" si="77"/>
        <v>0.24675225724310448</v>
      </c>
      <c r="H178" s="254">
        <f t="shared" si="77"/>
        <v>0.4587727993354847</v>
      </c>
      <c r="I178" s="151">
        <f t="shared" si="77"/>
        <v>9.8451543854211856E-2</v>
      </c>
      <c r="J178" s="81"/>
      <c r="K178" s="81"/>
    </row>
    <row r="181" spans="2:12" x14ac:dyDescent="0.2">
      <c r="B181" s="112"/>
      <c r="C181" s="277" t="s">
        <v>318</v>
      </c>
      <c r="D181" s="277"/>
      <c r="E181" s="277"/>
      <c r="F181" s="277"/>
      <c r="G181" s="277"/>
      <c r="H181" s="277"/>
      <c r="I181" s="277"/>
      <c r="J181" s="81"/>
      <c r="K181" s="81"/>
    </row>
    <row r="182" spans="2:12" x14ac:dyDescent="0.2">
      <c r="B182" s="112"/>
      <c r="C182" s="124" t="s">
        <v>253</v>
      </c>
      <c r="D182" s="124" t="s">
        <v>263</v>
      </c>
      <c r="E182" s="124" t="s">
        <v>237</v>
      </c>
      <c r="F182" s="124" t="s">
        <v>255</v>
      </c>
      <c r="G182" s="124" t="s">
        <v>256</v>
      </c>
      <c r="H182" s="124" t="s">
        <v>257</v>
      </c>
      <c r="I182" s="124" t="s">
        <v>246</v>
      </c>
      <c r="J182" s="81"/>
      <c r="K182" s="81"/>
    </row>
    <row r="183" spans="2:12" x14ac:dyDescent="0.2">
      <c r="B183" s="51" t="s">
        <v>258</v>
      </c>
      <c r="C183" s="113">
        <f>'Aramex Courier'!$U$7</f>
        <v>1095747.1823049737</v>
      </c>
      <c r="D183" s="113">
        <f>'Aramex Express+Parcel Forwardin'!$U$7</f>
        <v>615059.67733121954</v>
      </c>
      <c r="E183" s="113">
        <f>'Aramex Domestic'!$U$7</f>
        <v>480687.50497375446</v>
      </c>
      <c r="F183" s="113">
        <f>'Aramex Freight'!$U$7</f>
        <v>464481.15644570021</v>
      </c>
      <c r="G183" s="113">
        <f>'Aramex Logistics'!$U$7</f>
        <v>122730.0018552945</v>
      </c>
      <c r="H183" s="250">
        <f>('[22]Sum Per Produc-24 Vs 23 Express'!$AB$5*3.6726)*(('2025 IR Data Book'!$A$5))</f>
        <v>12173.904336816531</v>
      </c>
      <c r="I183" s="113">
        <f>C183+F183+G183+H183</f>
        <v>1695132.244942785</v>
      </c>
      <c r="J183" s="81"/>
      <c r="K183" s="81"/>
      <c r="L183" s="28"/>
    </row>
    <row r="184" spans="2:12" x14ac:dyDescent="0.2">
      <c r="B184" s="52" t="s">
        <v>207</v>
      </c>
      <c r="C184" s="114">
        <f>'Aramex Courier'!$U$10</f>
        <v>308439.13648764009</v>
      </c>
      <c r="D184" s="114">
        <f>'Aramex Express+Parcel Forwardin'!$U$10</f>
        <v>194876.95976272773</v>
      </c>
      <c r="E184" s="114">
        <f>'Aramex Domestic'!$U$9</f>
        <v>113562.17672491266</v>
      </c>
      <c r="F184" s="114">
        <f>'Aramex Freight'!$U$9</f>
        <v>58038.403693525528</v>
      </c>
      <c r="G184" s="114">
        <f>'Aramex Logistics'!$U$9</f>
        <v>21013.390005992711</v>
      </c>
      <c r="H184" s="251">
        <f>('[22]Sum Per Produc-24 Vs 23 Express'!$AB$11*3.6726)*(('2025 IR Data Book'!$A$5))</f>
        <v>11118.34444668377</v>
      </c>
      <c r="I184" s="114">
        <f>C184+F184+G184+H184</f>
        <v>398609.27463384211</v>
      </c>
      <c r="J184" s="81"/>
      <c r="K184" s="81"/>
    </row>
    <row r="185" spans="2:12" x14ac:dyDescent="0.2">
      <c r="B185" s="53" t="s">
        <v>208</v>
      </c>
      <c r="C185" s="149">
        <f>C184/C183</f>
        <v>0.28148750137674899</v>
      </c>
      <c r="D185" s="149">
        <f t="shared" ref="D185:H185" si="78">D184/D183</f>
        <v>0.31684236009147992</v>
      </c>
      <c r="E185" s="149">
        <f t="shared" si="78"/>
        <v>0.2362494875566053</v>
      </c>
      <c r="F185" s="149">
        <f t="shared" si="78"/>
        <v>0.12495319323101638</v>
      </c>
      <c r="G185" s="149">
        <f t="shared" si="78"/>
        <v>0.17121640746627437</v>
      </c>
      <c r="H185" s="252">
        <f t="shared" si="78"/>
        <v>0.91329323272727558</v>
      </c>
      <c r="I185" s="150">
        <f>I184/I183</f>
        <v>0.23514936714999257</v>
      </c>
      <c r="J185" s="81"/>
      <c r="K185" s="81"/>
    </row>
    <row r="186" spans="2:12" x14ac:dyDescent="0.2">
      <c r="B186" s="53" t="s">
        <v>259</v>
      </c>
      <c r="C186" s="114">
        <f>'Aramex Courier'!$U$13</f>
        <v>58930.392687230807</v>
      </c>
      <c r="D186" s="114"/>
      <c r="E186" s="114"/>
      <c r="F186" s="114">
        <f>'Aramex Freight'!$U$12</f>
        <v>19856.786797500044</v>
      </c>
      <c r="G186" s="114">
        <f>'Aramex Logistics'!$U$12</f>
        <v>4617.6866748203574</v>
      </c>
      <c r="H186" s="251">
        <f>'[22]Sum Per Produc-24 Vs 23 Express'!$AB$18*3.6726*(('2025 IR Data Book'!$A$5))</f>
        <v>5781.0417945620748</v>
      </c>
      <c r="I186" s="114">
        <f>C186+F186+G186+H186</f>
        <v>89185.907954113281</v>
      </c>
      <c r="J186" s="81"/>
      <c r="K186" s="81"/>
      <c r="L186" s="28"/>
    </row>
    <row r="187" spans="2:12" x14ac:dyDescent="0.2">
      <c r="B187" s="53" t="s">
        <v>211</v>
      </c>
      <c r="C187" s="149">
        <f>C186/C183</f>
        <v>5.3781012298171726E-2</v>
      </c>
      <c r="D187" s="149"/>
      <c r="E187" s="149"/>
      <c r="F187" s="149">
        <f t="shared" ref="F187:I187" si="79">F186/F183</f>
        <v>4.2750467961817924E-2</v>
      </c>
      <c r="G187" s="149">
        <f t="shared" si="79"/>
        <v>3.7624758453640918E-2</v>
      </c>
      <c r="H187" s="252">
        <f t="shared" si="79"/>
        <v>0.47487162989107351</v>
      </c>
      <c r="I187" s="150">
        <f t="shared" si="79"/>
        <v>5.2612949945461944E-2</v>
      </c>
      <c r="J187" s="81"/>
      <c r="K187" s="81"/>
    </row>
    <row r="188" spans="2:12" x14ac:dyDescent="0.2">
      <c r="B188" s="53" t="s">
        <v>212</v>
      </c>
      <c r="C188" s="148">
        <f>'Aramex Courier'!$U$15</f>
        <v>116789.34315659275</v>
      </c>
      <c r="D188" s="148"/>
      <c r="E188" s="148"/>
      <c r="F188" s="148">
        <f>'Aramex Freight'!$U$14</f>
        <v>26830.434388344562</v>
      </c>
      <c r="G188" s="148">
        <f>'Aramex Logistics'!$U$14</f>
        <v>27557.0942116673</v>
      </c>
      <c r="H188" s="253">
        <f>('[22]Sum Per Produc-24 Vs 23 Express'!$AB$22*3.6726)*(('2025 IR Data Book'!$A$5))</f>
        <v>6253.892123093935</v>
      </c>
      <c r="I188" s="114">
        <f>C188+F188+G188+H188</f>
        <v>177430.76387969856</v>
      </c>
      <c r="J188" s="81"/>
      <c r="K188" s="81"/>
    </row>
    <row r="189" spans="2:12" x14ac:dyDescent="0.2">
      <c r="B189" s="115" t="s">
        <v>213</v>
      </c>
      <c r="C189" s="151">
        <f>C188/C183</f>
        <v>0.10658420577538603</v>
      </c>
      <c r="D189" s="151"/>
      <c r="E189" s="151"/>
      <c r="F189" s="151">
        <f t="shared" ref="F189:I189" si="80">F188/F183</f>
        <v>5.7764311890833725E-2</v>
      </c>
      <c r="G189" s="151">
        <f t="shared" si="80"/>
        <v>0.22453429312384959</v>
      </c>
      <c r="H189" s="254">
        <f t="shared" si="80"/>
        <v>0.51371293465653467</v>
      </c>
      <c r="I189" s="151">
        <f t="shared" si="80"/>
        <v>0.10467075026685442</v>
      </c>
      <c r="J189" s="81"/>
      <c r="K189" s="81"/>
    </row>
    <row r="192" spans="2:12" x14ac:dyDescent="0.2">
      <c r="B192" s="112"/>
      <c r="C192" s="277" t="s">
        <v>323</v>
      </c>
      <c r="D192" s="277"/>
      <c r="E192" s="277"/>
      <c r="F192" s="277"/>
      <c r="G192" s="277"/>
      <c r="H192" s="277"/>
      <c r="I192" s="277"/>
      <c r="J192" s="81"/>
      <c r="K192" s="81"/>
    </row>
    <row r="193" spans="2:12" x14ac:dyDescent="0.2">
      <c r="B193" s="112"/>
      <c r="C193" s="124" t="s">
        <v>253</v>
      </c>
      <c r="D193" s="124" t="s">
        <v>263</v>
      </c>
      <c r="E193" s="124" t="s">
        <v>237</v>
      </c>
      <c r="F193" s="124" t="s">
        <v>255</v>
      </c>
      <c r="G193" s="124" t="s">
        <v>256</v>
      </c>
      <c r="H193" s="124" t="s">
        <v>257</v>
      </c>
      <c r="I193" s="124" t="s">
        <v>246</v>
      </c>
      <c r="J193" s="81"/>
      <c r="K193" s="81"/>
    </row>
    <row r="194" spans="2:12" x14ac:dyDescent="0.2">
      <c r="B194" s="51" t="s">
        <v>258</v>
      </c>
      <c r="C194" s="113">
        <f>'Aramex Courier'!$W$7</f>
        <v>990868.07025036868</v>
      </c>
      <c r="D194" s="113">
        <f>'Aramex Express+Parcel Forwardin'!$W$7</f>
        <v>560109.79993327393</v>
      </c>
      <c r="E194" s="113">
        <f>'Aramex Domestic'!$W$7</f>
        <v>430758.27031709487</v>
      </c>
      <c r="F194" s="113">
        <f>'Aramex Freight'!$W$7</f>
        <v>432949.56447876041</v>
      </c>
      <c r="G194" s="113">
        <f>'Aramex Logistics'!$W$7</f>
        <v>128573.84208952707</v>
      </c>
      <c r="H194" s="250">
        <f>('[24]Sum Per Produc-25 Vs 24 Express'!$AB$5*3.6726)*(('2025 IR Data Book'!$A$5))</f>
        <v>10625.710863421535</v>
      </c>
      <c r="I194" s="113">
        <f>C194+F194+G194+H194</f>
        <v>1563017.1876820775</v>
      </c>
      <c r="J194" s="81"/>
      <c r="K194" s="81"/>
    </row>
    <row r="195" spans="2:12" x14ac:dyDescent="0.2">
      <c r="B195" s="52" t="s">
        <v>207</v>
      </c>
      <c r="C195" s="114">
        <f>'Aramex Courier'!$W$10</f>
        <v>272007.96570023522</v>
      </c>
      <c r="D195" s="114">
        <f>'Aramex Express+Parcel Forwardin'!$W$10</f>
        <v>176597.31132737355</v>
      </c>
      <c r="E195" s="114">
        <f>'Aramex Domestic'!$W$9</f>
        <v>95410.654372861842</v>
      </c>
      <c r="F195" s="114">
        <f>'Aramex Freight'!$W$9</f>
        <v>60515.480838348041</v>
      </c>
      <c r="G195" s="114">
        <f>'Aramex Logistics'!$W$9</f>
        <v>22889.473316007614</v>
      </c>
      <c r="H195" s="251">
        <f>('[24]Sum Per Produc-25 Vs 24 Express'!$AB$11*3.6726)*(('2025 IR Data Book'!$A$5))</f>
        <v>9262.0094517081689</v>
      </c>
      <c r="I195" s="114">
        <f>C195+F195+G195+H195</f>
        <v>364674.92930629908</v>
      </c>
      <c r="J195" s="81"/>
      <c r="K195" s="81"/>
    </row>
    <row r="196" spans="2:12" x14ac:dyDescent="0.2">
      <c r="B196" s="53" t="s">
        <v>208</v>
      </c>
      <c r="C196" s="149">
        <f>C195/C194</f>
        <v>0.27451481571255526</v>
      </c>
      <c r="D196" s="149">
        <f t="shared" ref="D196:H196" si="81">D195/D194</f>
        <v>0.31529052223048348</v>
      </c>
      <c r="E196" s="149">
        <f t="shared" si="81"/>
        <v>0.22149465476919811</v>
      </c>
      <c r="F196" s="149">
        <f t="shared" si="81"/>
        <v>0.13977489713196559</v>
      </c>
      <c r="G196" s="149">
        <f t="shared" si="81"/>
        <v>0.17802589503446181</v>
      </c>
      <c r="H196" s="252">
        <f t="shared" si="81"/>
        <v>0.87166021838521524</v>
      </c>
      <c r="I196" s="150">
        <f>I195/I194</f>
        <v>0.23331472755402297</v>
      </c>
      <c r="J196" s="81"/>
      <c r="K196" s="81"/>
    </row>
    <row r="197" spans="2:12" x14ac:dyDescent="0.2">
      <c r="B197" s="53" t="s">
        <v>259</v>
      </c>
      <c r="C197" s="114">
        <f>'Aramex Courier'!$W$13</f>
        <v>28338.485979722307</v>
      </c>
      <c r="D197" s="114"/>
      <c r="E197" s="114"/>
      <c r="F197" s="114">
        <f>'Aramex Freight'!$W$12</f>
        <v>19989.514876503352</v>
      </c>
      <c r="G197" s="114">
        <f>'Aramex Logistics'!$W$12</f>
        <v>7390.1971223648497</v>
      </c>
      <c r="H197" s="251">
        <f>'[24]Sum Per Produc-25 Vs 24 Express'!$AB$18*3.6726*(('2025 IR Data Book'!$A$5))</f>
        <v>5185.7551227890417</v>
      </c>
      <c r="I197" s="114">
        <f>C197+F197+G197+H197</f>
        <v>60903.953101379549</v>
      </c>
      <c r="J197" s="81"/>
      <c r="K197" s="81"/>
    </row>
    <row r="198" spans="2:12" x14ac:dyDescent="0.2">
      <c r="B198" s="53" t="s">
        <v>211</v>
      </c>
      <c r="C198" s="149">
        <f>C197/C194</f>
        <v>2.8599656029446835E-2</v>
      </c>
      <c r="D198" s="149"/>
      <c r="E198" s="149"/>
      <c r="F198" s="149">
        <f t="shared" ref="F198:I198" si="82">F197/F194</f>
        <v>4.6170539288032927E-2</v>
      </c>
      <c r="G198" s="149">
        <f t="shared" si="82"/>
        <v>5.747823198142428E-2</v>
      </c>
      <c r="H198" s="252">
        <f t="shared" si="82"/>
        <v>0.48803841827098249</v>
      </c>
      <c r="I198" s="150">
        <f t="shared" si="82"/>
        <v>3.8965632356032412E-2</v>
      </c>
      <c r="J198" s="81"/>
      <c r="K198" s="81"/>
    </row>
    <row r="199" spans="2:12" x14ac:dyDescent="0.2">
      <c r="B199" s="53" t="s">
        <v>212</v>
      </c>
      <c r="C199" s="148">
        <f>'Aramex Courier'!$W$15</f>
        <v>82818.534911738258</v>
      </c>
      <c r="D199" s="148"/>
      <c r="E199" s="148"/>
      <c r="F199" s="148">
        <f>'Aramex Freight'!$W$14</f>
        <v>27390.993246107879</v>
      </c>
      <c r="G199" s="148">
        <f>'Aramex Logistics'!$W$14</f>
        <v>30473.571789363919</v>
      </c>
      <c r="H199" s="253">
        <f>('[24]Sum Per Produc-25 Vs 24 Express'!$AB$22*3.6726)*(('2025 IR Data Book'!$A$5))</f>
        <v>6265.37537087496</v>
      </c>
      <c r="I199" s="114">
        <f>C199+F199+G199+H199</f>
        <v>146948.47531808502</v>
      </c>
      <c r="J199" s="81"/>
      <c r="K199" s="81"/>
    </row>
    <row r="200" spans="2:12" x14ac:dyDescent="0.2">
      <c r="B200" s="115" t="s">
        <v>213</v>
      </c>
      <c r="C200" s="151">
        <f>C199/C194</f>
        <v>8.3581798019601125E-2</v>
      </c>
      <c r="D200" s="151"/>
      <c r="E200" s="151"/>
      <c r="F200" s="151">
        <f t="shared" ref="F200:I200" si="83">F199/F194</f>
        <v>6.326601408892657E-2</v>
      </c>
      <c r="G200" s="151">
        <f t="shared" si="83"/>
        <v>0.23701222032507133</v>
      </c>
      <c r="H200" s="254">
        <f t="shared" si="83"/>
        <v>0.58964293790857736</v>
      </c>
      <c r="I200" s="151">
        <f t="shared" si="83"/>
        <v>9.4015904928087576E-2</v>
      </c>
      <c r="J200" s="81"/>
      <c r="K200" s="81"/>
    </row>
    <row r="203" spans="2:12" x14ac:dyDescent="0.2">
      <c r="B203" s="112"/>
      <c r="C203" s="277" t="s">
        <v>337</v>
      </c>
      <c r="D203" s="277"/>
      <c r="E203" s="277"/>
      <c r="F203" s="277"/>
      <c r="G203" s="277"/>
      <c r="H203" s="277"/>
      <c r="I203" s="277"/>
      <c r="J203" s="81"/>
      <c r="K203" s="81"/>
    </row>
    <row r="204" spans="2:12" x14ac:dyDescent="0.2">
      <c r="B204" s="112"/>
      <c r="C204" s="124" t="s">
        <v>253</v>
      </c>
      <c r="D204" s="124" t="s">
        <v>263</v>
      </c>
      <c r="E204" s="124" t="s">
        <v>237</v>
      </c>
      <c r="F204" s="124" t="s">
        <v>255</v>
      </c>
      <c r="G204" s="124" t="s">
        <v>256</v>
      </c>
      <c r="H204" s="124" t="s">
        <v>257</v>
      </c>
      <c r="I204" s="124" t="s">
        <v>246</v>
      </c>
      <c r="J204" s="81"/>
      <c r="K204" s="81"/>
    </row>
    <row r="205" spans="2:12" x14ac:dyDescent="0.2">
      <c r="B205" s="51" t="s">
        <v>258</v>
      </c>
      <c r="C205" s="113">
        <f>'Aramex Courier'!$X$7</f>
        <v>916472.27476410824</v>
      </c>
      <c r="D205" s="113">
        <f>'Aramex Express+Parcel Forwardin'!$X$7</f>
        <v>494456.2377746806</v>
      </c>
      <c r="E205" s="113">
        <f>'Aramex Domestic'!$X$7</f>
        <v>422016.03698942758</v>
      </c>
      <c r="F205" s="113">
        <f>'Aramex Freight'!$X$7</f>
        <v>438279.45912363345</v>
      </c>
      <c r="G205" s="113">
        <f>'Aramex Logistics'!$X$7</f>
        <v>132403.44776444937</v>
      </c>
      <c r="H205" s="250">
        <f>('[25]Sum Per Produc-25 Vs 24 Express'!$AB$5*3.6726)*(('2025 IR Data Book'!$A$5))</f>
        <v>10534.34324852626</v>
      </c>
      <c r="I205" s="113">
        <f>C205+F205+G205+H205</f>
        <v>1497689.5249007174</v>
      </c>
      <c r="J205" s="81"/>
      <c r="K205" s="81"/>
      <c r="L205" s="28"/>
    </row>
    <row r="206" spans="2:12" x14ac:dyDescent="0.2">
      <c r="B206" s="52" t="s">
        <v>207</v>
      </c>
      <c r="C206" s="114">
        <f>'Aramex Courier'!$X$10</f>
        <v>236420.77563987265</v>
      </c>
      <c r="D206" s="114">
        <f>'Aramex Express+Parcel Forwardin'!$X$10</f>
        <v>147439.46962511702</v>
      </c>
      <c r="E206" s="114">
        <f>'Aramex Domestic'!$X$9</f>
        <v>88981.306014755566</v>
      </c>
      <c r="F206" s="114">
        <f>'Aramex Freight'!$X$9</f>
        <v>56749.179407913529</v>
      </c>
      <c r="G206" s="114">
        <f>'Aramex Logistics'!$X$9</f>
        <v>27390.652381949243</v>
      </c>
      <c r="H206" s="251">
        <f>('[25]Sum Per Produc-25 Vs 24 Express'!$AB$11*3.6726)*(('2025 IR Data Book'!$A$5))</f>
        <v>8704.3711184912445</v>
      </c>
      <c r="I206" s="114">
        <f>C206+F206+G206+H206</f>
        <v>329264.97854822665</v>
      </c>
      <c r="J206" s="81"/>
      <c r="K206" s="81"/>
    </row>
    <row r="207" spans="2:12" x14ac:dyDescent="0.2">
      <c r="B207" s="53" t="s">
        <v>208</v>
      </c>
      <c r="C207" s="149">
        <f>C206/C205</f>
        <v>0.25796827918305026</v>
      </c>
      <c r="D207" s="149">
        <f t="shared" ref="D207:H207" si="84">D206/D205</f>
        <v>0.29818507354396834</v>
      </c>
      <c r="E207" s="149">
        <f t="shared" si="84"/>
        <v>0.21084816266587694</v>
      </c>
      <c r="F207" s="149">
        <f t="shared" si="84"/>
        <v>0.12948172273778694</v>
      </c>
      <c r="G207" s="149">
        <f t="shared" si="84"/>
        <v>0.20687265206777866</v>
      </c>
      <c r="H207" s="252">
        <f t="shared" si="84"/>
        <v>0.82628512410671384</v>
      </c>
      <c r="I207" s="150">
        <f>I206/I205</f>
        <v>0.21984862221030343</v>
      </c>
      <c r="J207" s="81"/>
      <c r="K207" s="81"/>
    </row>
    <row r="208" spans="2:12" x14ac:dyDescent="0.2">
      <c r="B208" s="53" t="s">
        <v>259</v>
      </c>
      <c r="C208" s="114">
        <f>'Aramex Courier'!$X$13</f>
        <v>-8262.9389153053653</v>
      </c>
      <c r="D208" s="114"/>
      <c r="E208" s="114"/>
      <c r="F208" s="114">
        <f>'Aramex Freight'!$X$12</f>
        <v>13339.883645361264</v>
      </c>
      <c r="G208" s="114">
        <f>'Aramex Logistics'!$X$12</f>
        <v>8478.1530703367898</v>
      </c>
      <c r="H208" s="251">
        <f>'[25]Sum Per Produc-25 Vs 24 Express'!$AB$18*3.6726*(('2025 IR Data Book'!$A$5))</f>
        <v>2574.4424661616913</v>
      </c>
      <c r="I208" s="114">
        <f>C208+F208+G208+H208</f>
        <v>16129.540266554381</v>
      </c>
      <c r="J208" s="81"/>
      <c r="K208" s="81"/>
    </row>
    <row r="209" spans="2:12" x14ac:dyDescent="0.2">
      <c r="B209" s="53" t="s">
        <v>211</v>
      </c>
      <c r="C209" s="149">
        <f>C208/C205</f>
        <v>-9.016027154157143E-3</v>
      </c>
      <c r="D209" s="149"/>
      <c r="E209" s="149"/>
      <c r="F209" s="149">
        <f t="shared" ref="F209:I209" si="85">F208/F205</f>
        <v>3.0436935538880092E-2</v>
      </c>
      <c r="G209" s="149">
        <f t="shared" si="85"/>
        <v>6.4032721303600326E-2</v>
      </c>
      <c r="H209" s="252">
        <f t="shared" si="85"/>
        <v>0.24438566367408354</v>
      </c>
      <c r="I209" s="150">
        <f t="shared" si="85"/>
        <v>1.0769615463274082E-2</v>
      </c>
      <c r="J209" s="81"/>
      <c r="K209" s="81"/>
    </row>
    <row r="210" spans="2:12" x14ac:dyDescent="0.2">
      <c r="B210" s="53" t="s">
        <v>212</v>
      </c>
      <c r="C210" s="148">
        <f>'Aramex Courier'!$X$15</f>
        <v>47660.259259219725</v>
      </c>
      <c r="D210" s="148"/>
      <c r="E210" s="148"/>
      <c r="F210" s="148">
        <f>'Aramex Freight'!$X$14</f>
        <v>21198.24517919651</v>
      </c>
      <c r="G210" s="148">
        <f>'Aramex Logistics'!$X$14</f>
        <v>32368.492978465976</v>
      </c>
      <c r="H210" s="253">
        <f>('[25]Sum Per Produc-25 Vs 24 Express'!$AB$22*3.6726)*(('2025 IR Data Book'!$A$5))</f>
        <v>3569.752480253379</v>
      </c>
      <c r="I210" s="114">
        <f>C210+F210+G210+H210</f>
        <v>104796.74989713558</v>
      </c>
      <c r="J210" s="81"/>
      <c r="K210" s="81"/>
    </row>
    <row r="211" spans="2:12" x14ac:dyDescent="0.2">
      <c r="B211" s="115" t="s">
        <v>213</v>
      </c>
      <c r="C211" s="151">
        <f>C210/C205</f>
        <v>5.2004038279812717E-2</v>
      </c>
      <c r="D211" s="151"/>
      <c r="E211" s="151"/>
      <c r="F211" s="151">
        <f t="shared" ref="F211:I211" si="86">F210/F205</f>
        <v>4.8366960253130947E-2</v>
      </c>
      <c r="G211" s="151">
        <f t="shared" si="86"/>
        <v>0.24446865640576612</v>
      </c>
      <c r="H211" s="254">
        <f t="shared" si="86"/>
        <v>0.33886806192239677</v>
      </c>
      <c r="I211" s="151">
        <f t="shared" si="86"/>
        <v>6.9972279404226054E-2</v>
      </c>
      <c r="J211" s="81"/>
      <c r="K211" s="81"/>
    </row>
    <row r="214" spans="2:12" x14ac:dyDescent="0.2">
      <c r="B214" s="112"/>
      <c r="C214" s="277" t="s">
        <v>343</v>
      </c>
      <c r="D214" s="277"/>
      <c r="E214" s="277"/>
      <c r="F214" s="277"/>
      <c r="G214" s="277"/>
      <c r="H214" s="277"/>
      <c r="I214" s="277"/>
      <c r="J214" s="81"/>
      <c r="K214" s="81"/>
    </row>
    <row r="215" spans="2:12" x14ac:dyDescent="0.2">
      <c r="B215" s="112"/>
      <c r="C215" s="124" t="s">
        <v>253</v>
      </c>
      <c r="D215" s="124" t="s">
        <v>263</v>
      </c>
      <c r="E215" s="124" t="s">
        <v>237</v>
      </c>
      <c r="F215" s="124" t="s">
        <v>255</v>
      </c>
      <c r="G215" s="124" t="s">
        <v>256</v>
      </c>
      <c r="H215" s="124" t="s">
        <v>257</v>
      </c>
      <c r="I215" s="124" t="s">
        <v>246</v>
      </c>
      <c r="J215" s="81"/>
      <c r="K215" s="81"/>
    </row>
    <row r="216" spans="2:12" x14ac:dyDescent="0.2">
      <c r="B216" s="51" t="s">
        <v>258</v>
      </c>
      <c r="C216" s="113">
        <f>'Aramex Courier'!$Y$7</f>
        <v>984343.90009267384</v>
      </c>
      <c r="D216" s="113">
        <f>'Aramex Express+Parcel Forwardin'!$Y$7</f>
        <v>514235.3900693832</v>
      </c>
      <c r="E216" s="113">
        <f>'Aramex Domestic'!$Y$7</f>
        <v>470108.51002329076</v>
      </c>
      <c r="F216" s="113">
        <f>'Aramex Freight'!$Y$7</f>
        <v>465711.32483183645</v>
      </c>
      <c r="G216" s="113">
        <f>'Aramex Logistics'!$Y$7</f>
        <v>137308.99134204394</v>
      </c>
      <c r="H216" s="250">
        <f>('[26]Sum Per Produc-25 Vs 24 Express'!$AB$5*3.6726)*(('2025 IR Data Book'!$A$5))</f>
        <v>11709.926264709851</v>
      </c>
      <c r="I216" s="113">
        <f>C216+F216+G216+H216</f>
        <v>1599074.1425312641</v>
      </c>
      <c r="J216" s="81"/>
      <c r="K216" s="81"/>
      <c r="L216" s="28"/>
    </row>
    <row r="217" spans="2:12" x14ac:dyDescent="0.2">
      <c r="B217" s="52" t="s">
        <v>207</v>
      </c>
      <c r="C217" s="114">
        <f>'Aramex Courier'!$Y$10</f>
        <v>273445.13495884661</v>
      </c>
      <c r="D217" s="114">
        <f>'Aramex Express+Parcel Forwardin'!$Y$10</f>
        <v>174845.05419192486</v>
      </c>
      <c r="E217" s="114">
        <f>'Aramex Domestic'!$Y$9</f>
        <v>98600.080766921863</v>
      </c>
      <c r="F217" s="114">
        <f>'Aramex Freight'!$Y$9</f>
        <v>59420.777268328646</v>
      </c>
      <c r="G217" s="114">
        <f>'Aramex Logistics'!$Y$9</f>
        <v>27837.889536441697</v>
      </c>
      <c r="H217" s="251">
        <f>('[26]Sum Per Produc-25 Vs 24 Express'!$AB$11*3.6726)*(('2025 IR Data Book'!$A$5))</f>
        <v>9562.1959497878561</v>
      </c>
      <c r="I217" s="114">
        <f>C217+F217+G217+H217</f>
        <v>370265.99771340482</v>
      </c>
      <c r="J217" s="81"/>
      <c r="K217" s="81"/>
    </row>
    <row r="218" spans="2:12" x14ac:dyDescent="0.2">
      <c r="B218" s="53" t="s">
        <v>208</v>
      </c>
      <c r="C218" s="149">
        <f>C217/C216</f>
        <v>0.27779431043673086</v>
      </c>
      <c r="D218" s="149">
        <f t="shared" ref="D218:H218" si="87">D217/D216</f>
        <v>0.34000976511619302</v>
      </c>
      <c r="E218" s="149">
        <f t="shared" si="87"/>
        <v>0.20973898294680282</v>
      </c>
      <c r="F218" s="149">
        <f t="shared" si="87"/>
        <v>0.12759143722731001</v>
      </c>
      <c r="G218" s="149">
        <f t="shared" si="87"/>
        <v>0.20273901413415851</v>
      </c>
      <c r="H218" s="252">
        <f t="shared" si="87"/>
        <v>0.81658891214416951</v>
      </c>
      <c r="I218" s="150">
        <f>I217/I216</f>
        <v>0.23155023764394692</v>
      </c>
      <c r="J218" s="81"/>
      <c r="K218" s="81"/>
    </row>
    <row r="219" spans="2:12" x14ac:dyDescent="0.2">
      <c r="B219" s="53" t="s">
        <v>259</v>
      </c>
      <c r="C219" s="114">
        <f>'Aramex Courier'!$Y$13</f>
        <v>38333.846762699352</v>
      </c>
      <c r="D219" s="114"/>
      <c r="E219" s="114"/>
      <c r="F219" s="114">
        <f>'Aramex Freight'!$Y$12</f>
        <v>15560.61282868839</v>
      </c>
      <c r="G219" s="114">
        <f>'Aramex Logistics'!$Y$12</f>
        <v>8612.228185580725</v>
      </c>
      <c r="H219" s="251">
        <f>'[26]Sum Per Produc-25 Vs 24 Express'!$AB$18*3.6726*(('2025 IR Data Book'!$A$5))</f>
        <v>1617.2784085540652</v>
      </c>
      <c r="I219" s="114">
        <f>C219+F219+G219+H219</f>
        <v>64123.966185522528</v>
      </c>
      <c r="J219" s="81"/>
      <c r="K219" s="81"/>
    </row>
    <row r="220" spans="2:12" x14ac:dyDescent="0.2">
      <c r="B220" s="53" t="s">
        <v>211</v>
      </c>
      <c r="C220" s="149">
        <f>C219/C216</f>
        <v>3.8943550886118464E-2</v>
      </c>
      <c r="D220" s="149"/>
      <c r="E220" s="149"/>
      <c r="F220" s="149">
        <f t="shared" ref="F220:I220" si="88">F219/F216</f>
        <v>3.3412571262481469E-2</v>
      </c>
      <c r="G220" s="149">
        <f t="shared" si="88"/>
        <v>6.2721516642178302E-2</v>
      </c>
      <c r="H220" s="252">
        <f t="shared" si="88"/>
        <v>0.13811174997984824</v>
      </c>
      <c r="I220" s="150">
        <f t="shared" si="88"/>
        <v>4.0100683564313726E-2</v>
      </c>
      <c r="J220" s="81"/>
      <c r="K220" s="81"/>
    </row>
    <row r="221" spans="2:12" x14ac:dyDescent="0.2">
      <c r="B221" s="53" t="s">
        <v>212</v>
      </c>
      <c r="C221" s="148">
        <f>'Aramex Courier'!$Y$15</f>
        <v>104266.87407015554</v>
      </c>
      <c r="D221" s="148"/>
      <c r="E221" s="148"/>
      <c r="F221" s="148">
        <f>'Aramex Freight'!$Y$14</f>
        <v>23706.332058586933</v>
      </c>
      <c r="G221" s="148">
        <f>'Aramex Logistics'!$Y$14</f>
        <v>33278.438706977788</v>
      </c>
      <c r="H221" s="253">
        <f>('[26]Sum Per Produc-25 Vs 24 Express'!$AB$22*3.6726)*(('2025 IR Data Book'!$A$5))</f>
        <v>2582.4954488705253</v>
      </c>
      <c r="I221" s="114">
        <f>C221+F221+G221+H221</f>
        <v>163834.14028459077</v>
      </c>
      <c r="J221" s="81"/>
      <c r="K221" s="81"/>
    </row>
    <row r="222" spans="2:12" x14ac:dyDescent="0.2">
      <c r="B222" s="115" t="s">
        <v>213</v>
      </c>
      <c r="C222" s="151">
        <f>C221/C216</f>
        <v>0.10592525037269905</v>
      </c>
      <c r="D222" s="151"/>
      <c r="E222" s="151"/>
      <c r="F222" s="151">
        <f t="shared" ref="F222:I222" si="89">F221/F216</f>
        <v>5.0903490627261523E-2</v>
      </c>
      <c r="G222" s="151">
        <f t="shared" si="89"/>
        <v>0.24236168645416264</v>
      </c>
      <c r="H222" s="254">
        <f t="shared" si="89"/>
        <v>0.2205390017402056</v>
      </c>
      <c r="I222" s="151">
        <f t="shared" si="89"/>
        <v>0.1024556247437336</v>
      </c>
      <c r="J222" s="81"/>
      <c r="K222" s="81"/>
    </row>
    <row r="225" spans="2:12" x14ac:dyDescent="0.2">
      <c r="B225" s="112"/>
      <c r="C225" s="277" t="s">
        <v>349</v>
      </c>
      <c r="D225" s="277"/>
      <c r="E225" s="277"/>
      <c r="F225" s="277"/>
      <c r="G225" s="277"/>
      <c r="H225" s="277"/>
      <c r="I225" s="277"/>
      <c r="J225" s="81"/>
      <c r="K225" s="81"/>
    </row>
    <row r="226" spans="2:12" x14ac:dyDescent="0.2">
      <c r="B226" s="112"/>
      <c r="C226" s="124" t="s">
        <v>253</v>
      </c>
      <c r="D226" s="124" t="s">
        <v>263</v>
      </c>
      <c r="E226" s="124" t="s">
        <v>237</v>
      </c>
      <c r="F226" s="124" t="s">
        <v>255</v>
      </c>
      <c r="G226" s="124" t="s">
        <v>256</v>
      </c>
      <c r="H226" s="124" t="s">
        <v>257</v>
      </c>
      <c r="I226" s="124" t="s">
        <v>246</v>
      </c>
      <c r="J226" s="81"/>
      <c r="K226" s="81"/>
    </row>
    <row r="227" spans="2:12" x14ac:dyDescent="0.2">
      <c r="B227" s="51" t="s">
        <v>258</v>
      </c>
      <c r="C227" s="113">
        <f>'Aramex Courier'!$Z$7</f>
        <v>1095814.3880715261</v>
      </c>
      <c r="D227" s="113">
        <f>'Aramex Express+Parcel Forwardin'!$Z$7</f>
        <v>575452.80596649961</v>
      </c>
      <c r="E227" s="113">
        <f>'Aramex Domestic'!$Z$7</f>
        <v>520361.58210502652</v>
      </c>
      <c r="F227" s="113">
        <f>'Aramex Freight'!$Z$7</f>
        <v>454404.86530062329</v>
      </c>
      <c r="G227" s="113">
        <f>'Aramex Logistics'!$Z$7</f>
        <v>138461.69707474275</v>
      </c>
      <c r="H227" s="250">
        <f>('[27]Sum Per Produc-25 Vs 24 Express'!$AB$5*3.6726)*(('2025 IR Data Book'!$A$5))</f>
        <v>11483.800321483835</v>
      </c>
      <c r="I227" s="113">
        <f>C227+F227+G227+H227</f>
        <v>1700164.7507683758</v>
      </c>
      <c r="J227" s="81"/>
      <c r="K227" s="81"/>
      <c r="L227" s="28"/>
    </row>
    <row r="228" spans="2:12" x14ac:dyDescent="0.2">
      <c r="B228" s="52" t="s">
        <v>207</v>
      </c>
      <c r="C228" s="114">
        <f>'Aramex Courier'!$Z$10</f>
        <v>301040.34943572246</v>
      </c>
      <c r="D228" s="114">
        <f>'Aramex Express+Parcel Forwardin'!$Z$10</f>
        <v>177951.51323844679</v>
      </c>
      <c r="E228" s="114">
        <f>'Aramex Domestic'!$Z$9</f>
        <v>123088.83619727573</v>
      </c>
      <c r="F228" s="114">
        <f>'Aramex Freight'!$Z$9</f>
        <v>48054.169338496518</v>
      </c>
      <c r="G228" s="114">
        <f>'Aramex Logistics'!$Z$9</f>
        <v>26496.618623011178</v>
      </c>
      <c r="H228" s="251">
        <f>('[27]Sum Per Produc-25 Vs 24 Express'!$AB$11*3.6726)*(('2025 IR Data Book'!$A$5))</f>
        <v>9670.8001768816393</v>
      </c>
      <c r="I228" s="114">
        <f>C228+F228+G228+H228</f>
        <v>385261.9375741118</v>
      </c>
      <c r="J228" s="81"/>
      <c r="K228" s="81"/>
    </row>
    <row r="229" spans="2:12" x14ac:dyDescent="0.2">
      <c r="B229" s="53" t="s">
        <v>208</v>
      </c>
      <c r="C229" s="149">
        <f>C228/C227</f>
        <v>0.27471837631691409</v>
      </c>
      <c r="D229" s="149">
        <f t="shared" ref="D229:H229" si="90">D228/D227</f>
        <v>0.30923737167215476</v>
      </c>
      <c r="E229" s="149">
        <f t="shared" si="90"/>
        <v>0.23654481889178408</v>
      </c>
      <c r="F229" s="149">
        <f t="shared" si="90"/>
        <v>0.10575188121435504</v>
      </c>
      <c r="G229" s="149">
        <f t="shared" si="90"/>
        <v>0.19136424861749374</v>
      </c>
      <c r="H229" s="252">
        <f t="shared" si="90"/>
        <v>0.84212542069279583</v>
      </c>
      <c r="I229" s="150">
        <f>I228/I227</f>
        <v>0.2266027085904444</v>
      </c>
      <c r="J229" s="81"/>
      <c r="K229" s="81"/>
    </row>
    <row r="230" spans="2:12" x14ac:dyDescent="0.2">
      <c r="B230" s="53" t="s">
        <v>259</v>
      </c>
      <c r="C230" s="114">
        <f>'Aramex Courier'!$Z$13</f>
        <v>42740.248863150628</v>
      </c>
      <c r="D230" s="114"/>
      <c r="E230" s="114"/>
      <c r="F230" s="114">
        <f>'Aramex Freight'!$Z$12</f>
        <v>1555.5292017477361</v>
      </c>
      <c r="G230" s="114">
        <f>'Aramex Logistics'!$Z$12</f>
        <v>5885.4540293059927</v>
      </c>
      <c r="H230" s="251">
        <f>'[27]Sum Per Produc-25 Vs 24 Express'!$AB$18*3.6726*(('2025 IR Data Book'!$A$5))</f>
        <v>1372.0041694624551</v>
      </c>
      <c r="I230" s="114">
        <f>C230+F230+G230+H230</f>
        <v>51553.236263666804</v>
      </c>
      <c r="J230" s="81"/>
      <c r="K230" s="81"/>
    </row>
    <row r="231" spans="2:12" x14ac:dyDescent="0.2">
      <c r="B231" s="53" t="s">
        <v>211</v>
      </c>
      <c r="C231" s="149">
        <f>C230/C227</f>
        <v>3.9003182772921287E-2</v>
      </c>
      <c r="D231" s="149"/>
      <c r="E231" s="149"/>
      <c r="F231" s="149">
        <f t="shared" ref="F231:I231" si="91">F230/F227</f>
        <v>3.4232230341958059E-3</v>
      </c>
      <c r="G231" s="149">
        <f t="shared" si="91"/>
        <v>4.250600818599657E-2</v>
      </c>
      <c r="H231" s="252">
        <f t="shared" si="91"/>
        <v>0.11947300815529827</v>
      </c>
      <c r="I231" s="150">
        <f t="shared" si="91"/>
        <v>3.0322494476119288E-2</v>
      </c>
      <c r="J231" s="81"/>
      <c r="K231" s="81"/>
    </row>
    <row r="232" spans="2:12" x14ac:dyDescent="0.2">
      <c r="B232" s="53" t="s">
        <v>212</v>
      </c>
      <c r="C232" s="148">
        <f>'Aramex Courier'!$Z$15</f>
        <v>108899.72058091582</v>
      </c>
      <c r="D232" s="148"/>
      <c r="E232" s="148"/>
      <c r="F232" s="148">
        <f>'Aramex Freight'!$Z$14</f>
        <v>10435.116817783317</v>
      </c>
      <c r="G232" s="148">
        <f>'Aramex Logistics'!$Z$14</f>
        <v>31664.294483192552</v>
      </c>
      <c r="H232" s="253">
        <f>('[27]Sum Per Produc-25 Vs 24 Express'!$AB$22*3.6726)*(('2025 IR Data Book'!$A$5))</f>
        <v>2369.6088240419544</v>
      </c>
      <c r="I232" s="114">
        <f>C232+F232+G232+H232</f>
        <v>153368.74070593365</v>
      </c>
      <c r="J232" s="81"/>
      <c r="K232" s="81"/>
    </row>
    <row r="233" spans="2:12" x14ac:dyDescent="0.2">
      <c r="B233" s="115" t="s">
        <v>213</v>
      </c>
      <c r="C233" s="151">
        <f>C232/C227</f>
        <v>9.9377888962165831E-2</v>
      </c>
      <c r="D233" s="151"/>
      <c r="E233" s="151"/>
      <c r="F233" s="151">
        <f t="shared" ref="F233:I233" si="92">F232/F227</f>
        <v>2.2964359791525769E-2</v>
      </c>
      <c r="G233" s="151">
        <f t="shared" si="92"/>
        <v>0.22868630929823075</v>
      </c>
      <c r="H233" s="254">
        <f t="shared" si="92"/>
        <v>0.20634361080006783</v>
      </c>
      <c r="I233" s="151">
        <f t="shared" si="92"/>
        <v>9.020816402446874E-2</v>
      </c>
      <c r="J233" s="81"/>
      <c r="K233" s="81"/>
    </row>
  </sheetData>
  <mergeCells count="24">
    <mergeCell ref="C225:I225"/>
    <mergeCell ref="C192:I192"/>
    <mergeCell ref="C181:I181"/>
    <mergeCell ref="C42:I42"/>
    <mergeCell ref="C148:I148"/>
    <mergeCell ref="C137:I137"/>
    <mergeCell ref="C170:I170"/>
    <mergeCell ref="C159:I159"/>
    <mergeCell ref="C214:I214"/>
    <mergeCell ref="C203:I203"/>
    <mergeCell ref="L5:P5"/>
    <mergeCell ref="C18:I18"/>
    <mergeCell ref="L18:P18"/>
    <mergeCell ref="C31:I31"/>
    <mergeCell ref="L31:P31"/>
    <mergeCell ref="C5:I5"/>
    <mergeCell ref="L42:P42"/>
    <mergeCell ref="C125:I125"/>
    <mergeCell ref="C113:I113"/>
    <mergeCell ref="C101:I101"/>
    <mergeCell ref="C89:I89"/>
    <mergeCell ref="C77:I77"/>
    <mergeCell ref="C53:I53"/>
    <mergeCell ref="C65:I65"/>
  </mergeCells>
  <pageMargins left="0.7" right="0.7" top="0.75" bottom="0.75" header="0.3" footer="0.3"/>
  <pageSetup paperSize="9" orientation="portrait" r:id="rId1"/>
  <ignoredErrors>
    <ignoredError sqref="I9 P9:P11 P22:P24 P35:P37 P46:P48 I11 I81 I83 I93 I69 I57 I46 I35 I22 I95 I48 I37 I24 I59 I71 I105 I107 I117 I119 I152:I154 I141:I143 I129:I131 I163 I165 I207:I209 I218:I220 I231 I229 I174:I176 I185:I187 I196:I19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1EF8-9002-483C-8197-1A5536EBCB44}">
  <dimension ref="A1:O47"/>
  <sheetViews>
    <sheetView showGridLines="0" workbookViewId="0">
      <pane xSplit="2" ySplit="4" topLeftCell="C20" activePane="bottomRight" state="frozen"/>
      <selection activeCell="R17" sqref="R17"/>
      <selection pane="topRight" activeCell="R17" sqref="R17"/>
      <selection pane="bottomLeft" activeCell="R17" sqref="R17"/>
      <selection pane="bottomRight" activeCell="G51" sqref="G51"/>
    </sheetView>
  </sheetViews>
  <sheetFormatPr defaultColWidth="9.140625" defaultRowHeight="12.75" x14ac:dyDescent="0.2"/>
  <cols>
    <col min="1" max="1" width="5.42578125" style="1" customWidth="1"/>
    <col min="2" max="2" width="47.28515625" style="1" customWidth="1"/>
    <col min="3" max="5" width="10" style="1" bestFit="1" customWidth="1"/>
    <col min="6" max="7" width="12" style="1" customWidth="1"/>
    <col min="8" max="8" width="8.7109375" style="1" customWidth="1"/>
    <col min="9" max="9" width="39" style="1" bestFit="1" customWidth="1"/>
    <col min="10" max="10" width="9.28515625" style="1" bestFit="1" customWidth="1"/>
    <col min="11" max="11" width="9.5703125" style="1" bestFit="1" customWidth="1"/>
    <col min="12" max="12" width="10.140625" style="1" customWidth="1"/>
    <col min="13" max="13" width="9.140625" style="1"/>
    <col min="14" max="14" width="12" style="1" bestFit="1" customWidth="1"/>
    <col min="15" max="16384" width="9.140625" style="1"/>
  </cols>
  <sheetData>
    <row r="1" spans="1:14" x14ac:dyDescent="0.2">
      <c r="A1" s="153">
        <f>'2025 IR Data Book'!$A$5</f>
        <v>1</v>
      </c>
      <c r="C1" s="2"/>
      <c r="D1" s="2"/>
      <c r="E1" s="2"/>
      <c r="F1" s="2"/>
      <c r="G1" s="2"/>
    </row>
    <row r="2" spans="1:14" x14ac:dyDescent="0.2">
      <c r="B2" s="3" t="s">
        <v>336</v>
      </c>
      <c r="C2" s="4"/>
      <c r="D2" s="4"/>
      <c r="E2" s="4"/>
      <c r="F2" s="4"/>
      <c r="G2" s="4"/>
    </row>
    <row r="4" spans="1:14" ht="25.5" x14ac:dyDescent="0.2">
      <c r="B4" s="85" t="s">
        <v>258</v>
      </c>
      <c r="C4" s="86" t="s">
        <v>264</v>
      </c>
      <c r="D4" s="86" t="s">
        <v>265</v>
      </c>
      <c r="E4" s="86" t="s">
        <v>266</v>
      </c>
      <c r="F4" s="86" t="s">
        <v>267</v>
      </c>
      <c r="G4" s="87" t="s">
        <v>268</v>
      </c>
      <c r="I4" s="88" t="s">
        <v>269</v>
      </c>
      <c r="J4" s="89" t="s">
        <v>264</v>
      </c>
      <c r="K4" s="89" t="s">
        <v>265</v>
      </c>
      <c r="L4" s="89" t="s">
        <v>266</v>
      </c>
      <c r="M4" s="89" t="s">
        <v>267</v>
      </c>
      <c r="N4" s="90" t="s">
        <v>268</v>
      </c>
    </row>
    <row r="5" spans="1:14" x14ac:dyDescent="0.2">
      <c r="B5" s="15" t="s">
        <v>270</v>
      </c>
      <c r="C5" s="5">
        <f>C6+C7</f>
        <v>765789.83305916796</v>
      </c>
      <c r="D5" s="5">
        <f t="shared" ref="D5:F5" si="0">D6+D7</f>
        <v>789584.94244478003</v>
      </c>
      <c r="E5" s="5">
        <f t="shared" si="0"/>
        <v>796894.394521776</v>
      </c>
      <c r="F5" s="5">
        <f t="shared" si="0"/>
        <v>971738.25191043899</v>
      </c>
      <c r="G5" s="7">
        <f>SUM(C5:F5)</f>
        <v>3324007.4219361627</v>
      </c>
      <c r="I5" s="91" t="s">
        <v>271</v>
      </c>
      <c r="J5" s="92">
        <v>20</v>
      </c>
      <c r="K5" s="92">
        <v>20</v>
      </c>
      <c r="L5" s="92">
        <v>22</v>
      </c>
      <c r="M5" s="93">
        <v>25</v>
      </c>
      <c r="N5" s="94">
        <v>88</v>
      </c>
    </row>
    <row r="6" spans="1:14" x14ac:dyDescent="0.2">
      <c r="B6" s="17" t="s">
        <v>272</v>
      </c>
      <c r="C6" s="8">
        <f>500411.542893547*('2025 IR Data Book'!$A$5)</f>
        <v>500411.54289354698</v>
      </c>
      <c r="D6" s="8">
        <f>527816.532850836*('2025 IR Data Book'!$A$5)</f>
        <v>527816.53285083605</v>
      </c>
      <c r="E6" s="8">
        <f>542630.923505683*('2025 IR Data Book'!$A$5)</f>
        <v>542630.92350568296</v>
      </c>
      <c r="F6" s="9">
        <f>701828.936519285*('2025 IR Data Book'!$A$5)</f>
        <v>701828.93651928497</v>
      </c>
      <c r="G6" s="10">
        <f>SUM(C6:F6)</f>
        <v>2272687.9357693512</v>
      </c>
      <c r="I6" s="95" t="s">
        <v>273</v>
      </c>
      <c r="J6" s="96">
        <v>5</v>
      </c>
      <c r="K6" s="96">
        <v>5</v>
      </c>
      <c r="L6" s="96">
        <v>5</v>
      </c>
      <c r="M6" s="97">
        <v>6</v>
      </c>
      <c r="N6" s="98">
        <v>21</v>
      </c>
    </row>
    <row r="7" spans="1:14" x14ac:dyDescent="0.2">
      <c r="B7" s="18" t="s">
        <v>274</v>
      </c>
      <c r="C7" s="5">
        <f>265378.290165621*('2025 IR Data Book'!$A$5)</f>
        <v>265378.29016562097</v>
      </c>
      <c r="D7" s="5">
        <f>261768.409593944*('2025 IR Data Book'!$A$5)</f>
        <v>261768.409593944</v>
      </c>
      <c r="E7" s="5">
        <f>254263.471016093*('2025 IR Data Book'!$A$5)</f>
        <v>254263.47101609301</v>
      </c>
      <c r="F7" s="6">
        <f>269909.315391154*('2025 IR Data Book'!$A$5)</f>
        <v>269909.31539115403</v>
      </c>
      <c r="G7" s="11">
        <f t="shared" ref="G7" si="1">SUM(C7:F7)</f>
        <v>1051319.486166812</v>
      </c>
      <c r="I7" s="99" t="s">
        <v>275</v>
      </c>
      <c r="J7" s="100">
        <v>15</v>
      </c>
      <c r="K7" s="100">
        <v>15</v>
      </c>
      <c r="L7" s="100">
        <v>17</v>
      </c>
      <c r="M7" s="101">
        <v>19</v>
      </c>
      <c r="N7" s="102">
        <v>67</v>
      </c>
    </row>
    <row r="8" spans="1:14" x14ac:dyDescent="0.2">
      <c r="B8" s="16"/>
      <c r="C8" s="12"/>
      <c r="D8" s="12"/>
      <c r="E8" s="12"/>
      <c r="F8" s="12"/>
      <c r="G8" s="12"/>
      <c r="I8" s="16"/>
      <c r="J8" s="12"/>
      <c r="K8" s="12"/>
      <c r="L8" s="12"/>
      <c r="M8" s="12"/>
      <c r="N8" s="12"/>
    </row>
    <row r="9" spans="1:14" ht="25.5" x14ac:dyDescent="0.2">
      <c r="B9" s="85" t="s">
        <v>258</v>
      </c>
      <c r="C9" s="86" t="s">
        <v>276</v>
      </c>
      <c r="D9" s="86" t="s">
        <v>277</v>
      </c>
      <c r="E9" s="86" t="s">
        <v>278</v>
      </c>
      <c r="F9" s="86" t="s">
        <v>279</v>
      </c>
      <c r="G9" s="86" t="s">
        <v>280</v>
      </c>
      <c r="I9" s="88" t="s">
        <v>269</v>
      </c>
      <c r="J9" s="89" t="s">
        <v>276</v>
      </c>
      <c r="K9" s="89" t="s">
        <v>277</v>
      </c>
      <c r="L9" s="89" t="s">
        <v>278</v>
      </c>
      <c r="M9" s="89" t="s">
        <v>279</v>
      </c>
      <c r="N9" s="103" t="s">
        <v>280</v>
      </c>
    </row>
    <row r="10" spans="1:14" x14ac:dyDescent="0.2">
      <c r="B10" s="15" t="s">
        <v>270</v>
      </c>
      <c r="C10" s="5">
        <f>C11+C12</f>
        <v>789642.80461404799</v>
      </c>
      <c r="D10" s="5">
        <f t="shared" ref="D10:F10" si="2">D11+D12</f>
        <v>843529.30971220508</v>
      </c>
      <c r="E10" s="5">
        <f t="shared" si="2"/>
        <v>826897.60733428702</v>
      </c>
      <c r="F10" s="5">
        <f t="shared" si="2"/>
        <v>997389.02118452208</v>
      </c>
      <c r="G10" s="7">
        <f>SUM(C10:F10)</f>
        <v>3457458.7428450622</v>
      </c>
      <c r="I10" s="91" t="s">
        <v>271</v>
      </c>
      <c r="J10" s="104">
        <v>21</v>
      </c>
      <c r="K10" s="104">
        <v>23</v>
      </c>
      <c r="L10" s="104">
        <v>24</v>
      </c>
      <c r="M10" s="104">
        <v>29</v>
      </c>
      <c r="N10" s="105">
        <v>97</v>
      </c>
    </row>
    <row r="11" spans="1:14" x14ac:dyDescent="0.2">
      <c r="B11" s="17" t="s">
        <v>272</v>
      </c>
      <c r="C11" s="8">
        <f>533005.978333014*('2025 IR Data Book'!$A$5)</f>
        <v>533005.97833301395</v>
      </c>
      <c r="D11" s="8">
        <f>586348.531544673*('2025 IR Data Book'!$A$5)</f>
        <v>586348.53154467302</v>
      </c>
      <c r="E11" s="8">
        <f>556350.512051748*('2025 IR Data Book'!$A$5)</f>
        <v>556350.512051748</v>
      </c>
      <c r="F11" s="9">
        <f>673427.373818058*('2025 IR Data Book'!$A$5)</f>
        <v>673427.37381805805</v>
      </c>
      <c r="G11" s="10">
        <f>SUM(C11:F11)</f>
        <v>2349132.395747493</v>
      </c>
      <c r="I11" s="95" t="s">
        <v>273</v>
      </c>
      <c r="J11" s="96">
        <v>5</v>
      </c>
      <c r="K11" s="106">
        <v>6</v>
      </c>
      <c r="L11" s="106">
        <v>6</v>
      </c>
      <c r="M11" s="106">
        <v>7</v>
      </c>
      <c r="N11" s="107">
        <v>24</v>
      </c>
    </row>
    <row r="12" spans="1:14" x14ac:dyDescent="0.2">
      <c r="B12" s="18" t="s">
        <v>274</v>
      </c>
      <c r="C12" s="5">
        <f>256636.826281034*('2025 IR Data Book'!$A$5)</f>
        <v>256636.82628103401</v>
      </c>
      <c r="D12" s="5">
        <f>257180.778167532*('2025 IR Data Book'!$A$5)</f>
        <v>257180.778167532</v>
      </c>
      <c r="E12" s="5">
        <f>270547.095282539*('2025 IR Data Book'!$A$5)</f>
        <v>270547.09528253903</v>
      </c>
      <c r="F12" s="6">
        <f>323961.647366464*('2025 IR Data Book'!$A$5)</f>
        <v>323961.64736646402</v>
      </c>
      <c r="G12" s="11">
        <f t="shared" ref="G12" si="3">SUM(C12:F12)</f>
        <v>1108326.3470975691</v>
      </c>
      <c r="I12" s="99" t="s">
        <v>275</v>
      </c>
      <c r="J12" s="108">
        <v>16</v>
      </c>
      <c r="K12" s="108">
        <v>17</v>
      </c>
      <c r="L12" s="108">
        <v>18</v>
      </c>
      <c r="M12" s="108">
        <v>22</v>
      </c>
      <c r="N12" s="109">
        <v>73</v>
      </c>
    </row>
    <row r="13" spans="1:14" x14ac:dyDescent="0.2">
      <c r="B13" s="16"/>
      <c r="C13" s="12"/>
      <c r="D13" s="12"/>
      <c r="E13" s="12"/>
      <c r="F13" s="12"/>
      <c r="G13" s="12"/>
      <c r="I13" s="16"/>
      <c r="J13" s="12"/>
      <c r="K13" s="12"/>
      <c r="L13" s="12"/>
      <c r="M13" s="12"/>
      <c r="N13" s="12"/>
    </row>
    <row r="14" spans="1:14" ht="25.5" x14ac:dyDescent="0.2">
      <c r="B14" s="85" t="s">
        <v>258</v>
      </c>
      <c r="C14" s="86" t="s">
        <v>281</v>
      </c>
      <c r="D14" s="86" t="s">
        <v>282</v>
      </c>
      <c r="E14" s="86" t="s">
        <v>283</v>
      </c>
      <c r="F14" s="86" t="s">
        <v>284</v>
      </c>
      <c r="G14" s="86" t="s">
        <v>285</v>
      </c>
      <c r="I14" s="88" t="s">
        <v>269</v>
      </c>
      <c r="J14" s="89" t="s">
        <v>281</v>
      </c>
      <c r="K14" s="89" t="s">
        <v>282</v>
      </c>
      <c r="L14" s="89" t="s">
        <v>283</v>
      </c>
      <c r="M14" s="89" t="s">
        <v>284</v>
      </c>
      <c r="N14" s="103" t="s">
        <v>285</v>
      </c>
    </row>
    <row r="15" spans="1:14" x14ac:dyDescent="0.2">
      <c r="B15" s="15" t="s">
        <v>270</v>
      </c>
      <c r="C15" s="5">
        <f>C16+C17</f>
        <v>768414.06370854704</v>
      </c>
      <c r="D15" s="5">
        <f t="shared" ref="D15:F15" si="4">D16+D17</f>
        <v>918423.21058082604</v>
      </c>
      <c r="E15" s="5">
        <f t="shared" si="4"/>
        <v>1065472.356252905</v>
      </c>
      <c r="F15" s="5">
        <f t="shared" si="4"/>
        <v>1183087.843818913</v>
      </c>
      <c r="G15" s="7">
        <f>SUM(C15:F15)</f>
        <v>3935397.4743611915</v>
      </c>
      <c r="I15" s="91" t="s">
        <v>271</v>
      </c>
      <c r="J15" s="104">
        <v>24.89</v>
      </c>
      <c r="K15" s="104">
        <v>29</v>
      </c>
      <c r="L15" s="104">
        <v>32.616999999999997</v>
      </c>
      <c r="M15" s="104">
        <v>35</v>
      </c>
      <c r="N15" s="105">
        <v>121.50700000000001</v>
      </c>
    </row>
    <row r="16" spans="1:14" x14ac:dyDescent="0.2">
      <c r="B16" s="17" t="s">
        <v>272</v>
      </c>
      <c r="C16" s="8">
        <f>479423.365217863*('2025 IR Data Book'!$A$5)</f>
        <v>479423.365217863</v>
      </c>
      <c r="D16" s="8">
        <f>582164.588216127*('2025 IR Data Book'!$A$5)</f>
        <v>582164.58821612701</v>
      </c>
      <c r="E16" s="8">
        <f>715248.567909872*('2025 IR Data Book'!$A$5)</f>
        <v>715248.56790987204</v>
      </c>
      <c r="F16" s="9">
        <f>796492.326933316*('2025 IR Data Book'!$A$5)</f>
        <v>796492.32693331596</v>
      </c>
      <c r="G16" s="10">
        <f>SUM(C16:F16)</f>
        <v>2573328.8482771781</v>
      </c>
      <c r="I16" s="95" t="s">
        <v>273</v>
      </c>
      <c r="J16" s="106">
        <v>5.19</v>
      </c>
      <c r="K16" s="106">
        <v>6</v>
      </c>
      <c r="L16" s="106">
        <v>6.53</v>
      </c>
      <c r="M16" s="106">
        <v>7</v>
      </c>
      <c r="N16" s="107">
        <v>24.720000000000002</v>
      </c>
    </row>
    <row r="17" spans="2:14" x14ac:dyDescent="0.2">
      <c r="B17" s="18" t="s">
        <v>274</v>
      </c>
      <c r="C17" s="5">
        <f>288990.698490684*('2025 IR Data Book'!$A$5)</f>
        <v>288990.69849068398</v>
      </c>
      <c r="D17" s="5">
        <f>336258.622364699*('2025 IR Data Book'!$A$5)</f>
        <v>336258.62236469903</v>
      </c>
      <c r="E17" s="5">
        <f>350223.788343033*('2025 IR Data Book'!$A$5)</f>
        <v>350223.788343033</v>
      </c>
      <c r="F17" s="6">
        <f>386595.516885597*('2025 IR Data Book'!$A$5)</f>
        <v>386595.51688559703</v>
      </c>
      <c r="G17" s="11">
        <f t="shared" ref="G17" si="5">SUM(C17:F17)</f>
        <v>1362068.6260840131</v>
      </c>
      <c r="I17" s="99" t="s">
        <v>275</v>
      </c>
      <c r="J17" s="108">
        <v>19.7</v>
      </c>
      <c r="K17" s="108">
        <v>23</v>
      </c>
      <c r="L17" s="108">
        <v>26.087</v>
      </c>
      <c r="M17" s="108">
        <v>28</v>
      </c>
      <c r="N17" s="238">
        <v>96.787000000000006</v>
      </c>
    </row>
    <row r="18" spans="2:14" x14ac:dyDescent="0.2">
      <c r="B18" s="16"/>
      <c r="C18" s="12"/>
      <c r="D18" s="12"/>
      <c r="E18" s="12"/>
      <c r="F18" s="12"/>
      <c r="G18" s="12"/>
      <c r="I18" s="16"/>
      <c r="J18" s="12"/>
      <c r="K18" s="12"/>
      <c r="L18" s="12"/>
      <c r="M18" s="12"/>
      <c r="N18" s="12"/>
    </row>
    <row r="19" spans="2:14" ht="25.5" x14ac:dyDescent="0.2">
      <c r="B19" s="85" t="s">
        <v>258</v>
      </c>
      <c r="C19" s="86" t="s">
        <v>286</v>
      </c>
      <c r="D19" s="86" t="s">
        <v>287</v>
      </c>
      <c r="E19" s="86" t="s">
        <v>288</v>
      </c>
      <c r="F19" s="86" t="s">
        <v>289</v>
      </c>
      <c r="G19" s="86" t="s">
        <v>290</v>
      </c>
      <c r="I19" s="88" t="s">
        <v>269</v>
      </c>
      <c r="J19" s="89" t="s">
        <v>286</v>
      </c>
      <c r="K19" s="89" t="s">
        <v>287</v>
      </c>
      <c r="L19" s="89" t="s">
        <v>288</v>
      </c>
      <c r="M19" s="89" t="s">
        <v>289</v>
      </c>
      <c r="N19" s="103" t="s">
        <v>290</v>
      </c>
    </row>
    <row r="20" spans="2:14" x14ac:dyDescent="0.2">
      <c r="B20" s="15" t="s">
        <v>270</v>
      </c>
      <c r="C20" s="5">
        <f>C21+C22</f>
        <v>1002142.150091229</v>
      </c>
      <c r="D20" s="5">
        <f t="shared" ref="D20:F20" si="6">D21+D22</f>
        <v>1100781.4666448091</v>
      </c>
      <c r="E20" s="5">
        <f t="shared" si="6"/>
        <v>1069651.7573773921</v>
      </c>
      <c r="F20" s="5">
        <f t="shared" si="6"/>
        <v>1043643.7088922281</v>
      </c>
      <c r="G20" s="7">
        <f>SUM(C20:F20)</f>
        <v>4216219.0830056584</v>
      </c>
      <c r="I20" s="91" t="s">
        <v>271</v>
      </c>
      <c r="J20" s="104">
        <v>31.46</v>
      </c>
      <c r="K20" s="104">
        <v>33</v>
      </c>
      <c r="L20" s="104">
        <v>33.9</v>
      </c>
      <c r="M20" s="104">
        <v>35.489339000000001</v>
      </c>
      <c r="N20" s="105">
        <v>133.84933899999999</v>
      </c>
    </row>
    <row r="21" spans="2:14" x14ac:dyDescent="0.2">
      <c r="B21" s="17" t="s">
        <v>272</v>
      </c>
      <c r="C21" s="8">
        <f>646524.386045871*('2025 IR Data Book'!$A$5)</f>
        <v>646524.38604587095</v>
      </c>
      <c r="D21" s="8">
        <f>733555.542145953*('2025 IR Data Book'!$A$5)</f>
        <v>733555.54214595305</v>
      </c>
      <c r="E21" s="8">
        <f>608876.826084214*('2025 IR Data Book'!$A$5)</f>
        <v>608876.82608421403</v>
      </c>
      <c r="F21" s="9">
        <f>671392.92795456*('2025 IR Data Book'!$A$5)</f>
        <v>671392.92795456003</v>
      </c>
      <c r="G21" s="10">
        <f>SUM(C21:F21)</f>
        <v>2660349.6822305978</v>
      </c>
      <c r="I21" s="95" t="s">
        <v>273</v>
      </c>
      <c r="J21" s="106">
        <v>6.2</v>
      </c>
      <c r="K21" s="106">
        <v>7.2</v>
      </c>
      <c r="L21" s="106">
        <v>6.3</v>
      </c>
      <c r="M21" s="106">
        <v>6.0524940000000003</v>
      </c>
      <c r="N21" s="107">
        <v>25.752493999999999</v>
      </c>
    </row>
    <row r="22" spans="2:14" x14ac:dyDescent="0.2">
      <c r="B22" s="18" t="s">
        <v>274</v>
      </c>
      <c r="C22" s="5">
        <f>355617.764045358*('2025 IR Data Book'!$A$5)</f>
        <v>355617.764045358</v>
      </c>
      <c r="D22" s="5">
        <f>367225.924498856*('2025 IR Data Book'!$A$5)</f>
        <v>367225.92449885601</v>
      </c>
      <c r="E22" s="5">
        <f>460774.931293178*('2025 IR Data Book'!$A$5)</f>
        <v>460774.931293178</v>
      </c>
      <c r="F22" s="6">
        <f>372250.780937668*('2025 IR Data Book'!$A$5)</f>
        <v>372250.78093766799</v>
      </c>
      <c r="G22" s="11">
        <f t="shared" ref="G22" si="7">SUM(C22:F22)</f>
        <v>1555869.4007750601</v>
      </c>
      <c r="I22" s="99" t="s">
        <v>275</v>
      </c>
      <c r="J22" s="108">
        <v>25.26</v>
      </c>
      <c r="K22" s="108">
        <v>25.8</v>
      </c>
      <c r="L22" s="108">
        <v>27.6</v>
      </c>
      <c r="M22" s="108">
        <v>29.436845000000002</v>
      </c>
      <c r="N22" s="238">
        <v>108.096845</v>
      </c>
    </row>
    <row r="23" spans="2:14" x14ac:dyDescent="0.2">
      <c r="B23" s="16"/>
      <c r="C23" s="12"/>
      <c r="D23" s="12"/>
      <c r="E23" s="12"/>
      <c r="F23" s="12"/>
      <c r="G23" s="12"/>
      <c r="I23" s="16"/>
      <c r="J23" s="12"/>
      <c r="K23" s="12"/>
      <c r="L23" s="12"/>
      <c r="M23" s="12"/>
      <c r="N23" s="12"/>
    </row>
    <row r="24" spans="2:14" ht="23.25" customHeight="1" x14ac:dyDescent="0.2">
      <c r="B24" s="85" t="s">
        <v>258</v>
      </c>
      <c r="C24" s="86" t="s">
        <v>291</v>
      </c>
      <c r="D24" s="86" t="s">
        <v>292</v>
      </c>
      <c r="E24" s="86" t="s">
        <v>293</v>
      </c>
      <c r="F24" s="86" t="s">
        <v>294</v>
      </c>
      <c r="G24" s="86" t="s">
        <v>295</v>
      </c>
      <c r="I24" s="88" t="s">
        <v>269</v>
      </c>
      <c r="J24" s="89" t="s">
        <v>291</v>
      </c>
      <c r="K24" s="89" t="s">
        <v>292</v>
      </c>
      <c r="L24" s="89" t="s">
        <v>293</v>
      </c>
      <c r="M24" s="89" t="s">
        <v>296</v>
      </c>
      <c r="N24" s="103" t="s">
        <v>295</v>
      </c>
    </row>
    <row r="25" spans="2:14" x14ac:dyDescent="0.2">
      <c r="B25" s="15" t="s">
        <v>270</v>
      </c>
      <c r="C25" s="5">
        <f>C26+C27</f>
        <v>935617.64776304201</v>
      </c>
      <c r="D25" s="5">
        <f t="shared" ref="D25:F25" si="8">D26+D27</f>
        <v>960926.27882683603</v>
      </c>
      <c r="E25" s="5">
        <f t="shared" si="8"/>
        <v>863746.4393101593</v>
      </c>
      <c r="F25" s="5">
        <f t="shared" si="8"/>
        <v>989790.29956550698</v>
      </c>
      <c r="G25" s="7">
        <f>SUM(C25:F25)</f>
        <v>3750080.6654655444</v>
      </c>
      <c r="I25" s="91" t="s">
        <v>271</v>
      </c>
      <c r="J25" s="104">
        <f>J26+J27</f>
        <v>30.348113000000001</v>
      </c>
      <c r="K25" s="104">
        <f>K26+K27</f>
        <v>30.031293999999999</v>
      </c>
      <c r="L25" s="104">
        <f>L26+L27</f>
        <v>29.605456</v>
      </c>
      <c r="M25" s="104">
        <f t="shared" ref="M25:N25" si="9">M26+M27</f>
        <v>32.288510000000002</v>
      </c>
      <c r="N25" s="104">
        <f t="shared" si="9"/>
        <v>122.27337300000001</v>
      </c>
    </row>
    <row r="26" spans="2:14" x14ac:dyDescent="0.2">
      <c r="B26" s="17" t="s">
        <v>272</v>
      </c>
      <c r="C26" s="8">
        <f>'Aramex Express+Parcel Forwardin'!H7</f>
        <v>558977.06519999995</v>
      </c>
      <c r="D26" s="8">
        <f>'Aramex Express+Parcel Forwardin'!I7</f>
        <v>588432.25545843097</v>
      </c>
      <c r="E26" s="8">
        <f>'Aramex Express+Parcel Forwardin'!J7</f>
        <v>493926.81901904807</v>
      </c>
      <c r="F26" s="8">
        <f>607548.926899381*(('2025 IR Data Book'!$A$5))</f>
        <v>607548.92689938098</v>
      </c>
      <c r="G26" s="10">
        <f>SUM(C26:F26)</f>
        <v>2248885.0665768599</v>
      </c>
      <c r="H26" s="4"/>
      <c r="I26" s="95" t="s">
        <v>273</v>
      </c>
      <c r="J26" s="106">
        <v>5.3397690000000004</v>
      </c>
      <c r="K26" s="106">
        <v>5.9301339999999998</v>
      </c>
      <c r="L26" s="106">
        <v>5.1237760000000003</v>
      </c>
      <c r="M26" s="106">
        <v>5.8111730000000001</v>
      </c>
      <c r="N26" s="107">
        <f>SUM(J26:M26)</f>
        <v>22.204851999999999</v>
      </c>
    </row>
    <row r="27" spans="2:14" x14ac:dyDescent="0.2">
      <c r="B27" s="18" t="s">
        <v>274</v>
      </c>
      <c r="C27" s="5">
        <f>'Aramex Domestic'!H7</f>
        <v>376640.582563042</v>
      </c>
      <c r="D27" s="5">
        <f>'Aramex Domestic'!I7</f>
        <v>372494.023368405</v>
      </c>
      <c r="E27" s="5">
        <f>'Aramex Domestic'!J7</f>
        <v>369819.62029111129</v>
      </c>
      <c r="F27" s="5">
        <f>382241.372666126*(('2025 IR Data Book'!$A$5))</f>
        <v>382241.372666126</v>
      </c>
      <c r="G27" s="11">
        <f t="shared" ref="G27" si="10">SUM(C27:F27)</f>
        <v>1501195.5988886845</v>
      </c>
      <c r="H27" s="4"/>
      <c r="I27" s="99" t="s">
        <v>275</v>
      </c>
      <c r="J27" s="108">
        <v>25.008344000000001</v>
      </c>
      <c r="K27" s="108">
        <v>24.10116</v>
      </c>
      <c r="L27" s="108">
        <v>24.481680000000001</v>
      </c>
      <c r="M27" s="108">
        <v>26.477336999999999</v>
      </c>
      <c r="N27" s="108">
        <f>SUM(J27:M27)</f>
        <v>100.068521</v>
      </c>
    </row>
    <row r="28" spans="2:14" x14ac:dyDescent="0.2">
      <c r="H28" s="233"/>
    </row>
    <row r="29" spans="2:14" ht="25.5" x14ac:dyDescent="0.2">
      <c r="B29" s="85" t="s">
        <v>258</v>
      </c>
      <c r="C29" s="86" t="s">
        <v>297</v>
      </c>
      <c r="D29" s="86" t="s">
        <v>298</v>
      </c>
      <c r="E29" s="86" t="s">
        <v>299</v>
      </c>
      <c r="F29" s="86" t="s">
        <v>300</v>
      </c>
      <c r="G29" s="86" t="s">
        <v>301</v>
      </c>
      <c r="I29" s="88" t="s">
        <v>269</v>
      </c>
      <c r="J29" s="89" t="str">
        <f>C29</f>
        <v>1st Qrt'23</v>
      </c>
      <c r="K29" s="89" t="str">
        <f>D29</f>
        <v>2nd Qrt'23</v>
      </c>
      <c r="L29" s="89" t="str">
        <f>E29</f>
        <v>3rd Qrt'23</v>
      </c>
      <c r="M29" s="89" t="str">
        <f>F29</f>
        <v>4th Qrt'23</v>
      </c>
      <c r="N29" s="103" t="str">
        <f>G29</f>
        <v>Full year 2023</v>
      </c>
    </row>
    <row r="30" spans="2:14" x14ac:dyDescent="0.2">
      <c r="B30" s="15" t="s">
        <v>270</v>
      </c>
      <c r="C30" s="5">
        <f>C31+C32</f>
        <v>928233.12068608799</v>
      </c>
      <c r="D30" s="5">
        <f>D31+D32</f>
        <v>912426.25961156702</v>
      </c>
      <c r="E30" s="5">
        <f>E31+E32</f>
        <v>864547.81179542595</v>
      </c>
      <c r="F30" s="5">
        <f>F31+F32</f>
        <v>1017564.2383886552</v>
      </c>
      <c r="G30" s="7">
        <f>SUM(C30:F30)</f>
        <v>3722771.4304817361</v>
      </c>
      <c r="I30" s="91" t="s">
        <v>271</v>
      </c>
      <c r="J30" s="104">
        <f>J31+J32</f>
        <v>30.013763000000001</v>
      </c>
      <c r="K30" s="104">
        <f>K31+K32</f>
        <v>29.723403000000001</v>
      </c>
      <c r="L30" s="104">
        <f>L31+L32</f>
        <v>29.394833000000002</v>
      </c>
      <c r="M30" s="104">
        <f>M31+M32</f>
        <v>34.206263999999997</v>
      </c>
      <c r="N30" s="104">
        <f t="shared" ref="N30" si="11">N31+N32</f>
        <v>123.338263</v>
      </c>
    </row>
    <row r="31" spans="2:14" x14ac:dyDescent="0.2">
      <c r="B31" s="17" t="s">
        <v>272</v>
      </c>
      <c r="C31" s="8">
        <f>'Aramex Express+Parcel Forwardin'!M7</f>
        <v>566580.92004547699</v>
      </c>
      <c r="D31" s="8">
        <f>'Aramex Express+Parcel Forwardin'!N7</f>
        <v>561041.18413617101</v>
      </c>
      <c r="E31" s="8">
        <f>'Aramex Express+Parcel Forwardin'!O7</f>
        <v>511950.95374506398</v>
      </c>
      <c r="F31" s="8">
        <f>'Aramex Express+Parcel Forwardin'!P7</f>
        <v>655838.6843325448</v>
      </c>
      <c r="G31" s="10">
        <f>SUM(C31:F31)</f>
        <v>2295411.742259257</v>
      </c>
      <c r="I31" s="95" t="s">
        <v>273</v>
      </c>
      <c r="J31" s="106">
        <f>'Aramex Courier'!M20/1000000</f>
        <v>5.3936590000000004</v>
      </c>
      <c r="K31" s="106">
        <f>'Aramex Courier'!N20/1000000</f>
        <v>5.491225</v>
      </c>
      <c r="L31" s="106">
        <f>'Aramex Courier'!O20/1000000</f>
        <v>4.8525600000000004</v>
      </c>
      <c r="M31" s="106">
        <f>'Aramex Courier'!P20/1000000</f>
        <v>7.6101720000000004</v>
      </c>
      <c r="N31" s="107">
        <f>SUM(J31:M31)</f>
        <v>23.347616000000002</v>
      </c>
    </row>
    <row r="32" spans="2:14" x14ac:dyDescent="0.2">
      <c r="B32" s="18" t="s">
        <v>274</v>
      </c>
      <c r="C32" s="5">
        <f>'Aramex Domestic'!M7</f>
        <v>361652.200640611</v>
      </c>
      <c r="D32" s="5">
        <f>'Aramex Domestic'!N7</f>
        <v>351385.07547539601</v>
      </c>
      <c r="E32" s="5">
        <f>'Aramex Domestic'!O7</f>
        <v>352596.85805036197</v>
      </c>
      <c r="F32" s="5">
        <f>'Aramex Domestic'!P7</f>
        <v>361725.5540561105</v>
      </c>
      <c r="G32" s="11">
        <f t="shared" ref="G32" si="12">SUM(C32:F32)</f>
        <v>1427359.6882224795</v>
      </c>
      <c r="H32" s="4"/>
      <c r="I32" s="99" t="s">
        <v>275</v>
      </c>
      <c r="J32" s="108">
        <f>'Aramex Courier'!M19/1000000</f>
        <v>24.620104000000001</v>
      </c>
      <c r="K32" s="108">
        <f>'Aramex Courier'!N19/1000000</f>
        <v>24.232178000000001</v>
      </c>
      <c r="L32" s="108">
        <f>'Aramex Courier'!O19/1000000</f>
        <v>24.542273000000002</v>
      </c>
      <c r="M32" s="108">
        <f>'Aramex Courier'!P19/1000000</f>
        <v>26.596091999999999</v>
      </c>
      <c r="N32" s="108">
        <f>SUM(J32:M32)</f>
        <v>99.990646999999996</v>
      </c>
    </row>
    <row r="34" spans="2:15" ht="25.5" x14ac:dyDescent="0.2">
      <c r="B34" s="85" t="s">
        <v>258</v>
      </c>
      <c r="C34" s="86" t="s">
        <v>302</v>
      </c>
      <c r="D34" s="86" t="s">
        <v>303</v>
      </c>
      <c r="E34" s="86" t="s">
        <v>304</v>
      </c>
      <c r="F34" s="86" t="s">
        <v>305</v>
      </c>
      <c r="G34" s="86" t="s">
        <v>306</v>
      </c>
      <c r="I34" s="88" t="s">
        <v>269</v>
      </c>
      <c r="J34" s="89" t="str">
        <f>C34</f>
        <v>1st Qrt'24</v>
      </c>
      <c r="K34" s="89" t="str">
        <f>D34</f>
        <v>2nd Qrt'24</v>
      </c>
      <c r="L34" s="89" t="str">
        <f>E34</f>
        <v>3rd Qrt'24</v>
      </c>
      <c r="M34" s="89" t="str">
        <f>F34</f>
        <v>4th Qrt'24</v>
      </c>
      <c r="N34" s="103" t="str">
        <f>G34</f>
        <v>Full year 2024</v>
      </c>
    </row>
    <row r="35" spans="2:15" x14ac:dyDescent="0.2">
      <c r="B35" s="15" t="s">
        <v>270</v>
      </c>
      <c r="C35" s="5">
        <f>C36+C37</f>
        <v>1026009.5879454871</v>
      </c>
      <c r="D35" s="5">
        <f>D36+D37</f>
        <v>965373.82602591906</v>
      </c>
      <c r="E35" s="5">
        <f>E36+E37</f>
        <v>1010952.3755746041</v>
      </c>
      <c r="F35" s="5">
        <f>F36+F37</f>
        <v>1095747.1823049739</v>
      </c>
      <c r="G35" s="7">
        <f>SUM(C35:F35)</f>
        <v>4098082.9718509838</v>
      </c>
      <c r="H35" s="4">
        <f>C35+D35+E35+F35-G35</f>
        <v>0</v>
      </c>
      <c r="I35" s="91" t="s">
        <v>271</v>
      </c>
      <c r="J35" s="104">
        <f>J36+J37</f>
        <v>33.996184</v>
      </c>
      <c r="K35" s="104">
        <f>K36+K37</f>
        <v>31.760967999999998</v>
      </c>
      <c r="L35" s="104">
        <f>L36+L37</f>
        <v>35.383757000000003</v>
      </c>
      <c r="M35" s="104">
        <f>M36+M37</f>
        <v>38.210324</v>
      </c>
      <c r="N35" s="104">
        <f t="shared" ref="N35" si="13">N36+N37</f>
        <v>139.35123300000001</v>
      </c>
      <c r="O35" s="4"/>
    </row>
    <row r="36" spans="2:15" x14ac:dyDescent="0.2">
      <c r="B36" s="17" t="s">
        <v>307</v>
      </c>
      <c r="C36" s="8">
        <f>'Aramex Express+Parcel Forwardin'!R7</f>
        <v>645805.18974832539</v>
      </c>
      <c r="D36" s="8">
        <f>'Aramex Express+Parcel Forwardin'!S7</f>
        <v>589299.65836518747</v>
      </c>
      <c r="E36" s="8">
        <f>'Aramex Express+Parcel Forwardin'!T7</f>
        <v>562319.07676528848</v>
      </c>
      <c r="F36" s="8">
        <f>'Aramex Express+Parcel Forwardin'!U7</f>
        <v>615059.67733121954</v>
      </c>
      <c r="G36" s="10">
        <f>SUM(C36:F36)</f>
        <v>2412483.6022100206</v>
      </c>
      <c r="H36" s="4">
        <f t="shared" ref="H36:H37" si="14">C36+D36+E36+F36-G36</f>
        <v>0</v>
      </c>
      <c r="I36" s="95" t="s">
        <v>273</v>
      </c>
      <c r="J36" s="106">
        <f>'Aramex Courier'!R20/1000000</f>
        <v>7.7678960000000004</v>
      </c>
      <c r="K36" s="106">
        <f>'Aramex Courier'!S20/1000000</f>
        <v>6.6521910000000002</v>
      </c>
      <c r="L36" s="106">
        <f>'Aramex Courier'!T20/1000000</f>
        <v>6.4957900000000004</v>
      </c>
      <c r="M36" s="106">
        <f>'Aramex Courier'!U20/1000000</f>
        <v>7.1792540000000002</v>
      </c>
      <c r="N36" s="107">
        <f>SUM(J36:M36)</f>
        <v>28.095131000000002</v>
      </c>
      <c r="O36" s="4"/>
    </row>
    <row r="37" spans="2:15" x14ac:dyDescent="0.2">
      <c r="B37" s="18" t="s">
        <v>274</v>
      </c>
      <c r="C37" s="5">
        <f>'Aramex Domestic'!R7</f>
        <v>380204.39819716167</v>
      </c>
      <c r="D37" s="5">
        <f>'Aramex Domestic'!S7</f>
        <v>376074.16766073165</v>
      </c>
      <c r="E37" s="5">
        <f>'Aramex Domestic'!T7</f>
        <v>448633.29880931566</v>
      </c>
      <c r="F37" s="5">
        <f>'Aramex Domestic'!U7</f>
        <v>480687.50497375446</v>
      </c>
      <c r="G37" s="11">
        <f t="shared" ref="G37" si="15">SUM(C37:F37)</f>
        <v>1685599.3696409634</v>
      </c>
      <c r="H37" s="4">
        <f t="shared" si="14"/>
        <v>0</v>
      </c>
      <c r="I37" s="99" t="s">
        <v>275</v>
      </c>
      <c r="J37" s="108">
        <f>'Aramex Courier'!R19/1000000</f>
        <v>26.228287999999999</v>
      </c>
      <c r="K37" s="108">
        <f>'Aramex Courier'!S19/1000000</f>
        <v>25.108777</v>
      </c>
      <c r="L37" s="108">
        <f>'Aramex Courier'!T19/1000000</f>
        <v>28.887967</v>
      </c>
      <c r="M37" s="108">
        <f>'Aramex Courier'!U19/1000000</f>
        <v>31.03107</v>
      </c>
      <c r="N37" s="108">
        <f>SUM(J37:M37)</f>
        <v>111.256102</v>
      </c>
      <c r="O37" s="4"/>
    </row>
    <row r="38" spans="2:15" hidden="1" x14ac:dyDescent="0.2">
      <c r="C38" s="8">
        <f>557745.393557364*('2025 IR Data Book'!$A$5)</f>
        <v>557745.393557364</v>
      </c>
    </row>
    <row r="39" spans="2:15" hidden="1" x14ac:dyDescent="0.2">
      <c r="C39" s="5">
        <f>353346.525111743*('2025 IR Data Book'!$A$5)</f>
        <v>353346.52511174302</v>
      </c>
    </row>
    <row r="40" spans="2:15" hidden="1" x14ac:dyDescent="0.2"/>
    <row r="41" spans="2:15" hidden="1" x14ac:dyDescent="0.2">
      <c r="C41" s="4">
        <f>C26-C38</f>
        <v>1231.671642635949</v>
      </c>
    </row>
    <row r="42" spans="2:15" hidden="1" x14ac:dyDescent="0.2">
      <c r="C42" s="4">
        <f>C27-C39</f>
        <v>23294.057451298984</v>
      </c>
    </row>
    <row r="44" spans="2:15" ht="25.5" x14ac:dyDescent="0.2">
      <c r="B44" s="85" t="s">
        <v>258</v>
      </c>
      <c r="C44" s="86" t="s">
        <v>327</v>
      </c>
      <c r="D44" s="86" t="s">
        <v>328</v>
      </c>
      <c r="E44" s="86" t="s">
        <v>329</v>
      </c>
      <c r="F44" s="86" t="s">
        <v>330</v>
      </c>
      <c r="G44" s="86" t="s">
        <v>331</v>
      </c>
      <c r="I44" s="88" t="s">
        <v>269</v>
      </c>
      <c r="J44" s="89" t="str">
        <f>C44</f>
        <v>1st Qrt'25</v>
      </c>
      <c r="K44" s="89" t="str">
        <f>D44</f>
        <v>2nd Qrt'25</v>
      </c>
      <c r="L44" s="89" t="str">
        <f>E44</f>
        <v>3rd Qrt'25</v>
      </c>
      <c r="M44" s="89" t="str">
        <f>F44</f>
        <v>4th Qrt'25</v>
      </c>
      <c r="N44" s="103" t="str">
        <f>G44</f>
        <v>Full year 2025</v>
      </c>
    </row>
    <row r="45" spans="2:15" x14ac:dyDescent="0.2">
      <c r="B45" s="15" t="s">
        <v>270</v>
      </c>
      <c r="C45" s="5">
        <f>C46+C47</f>
        <v>990868.07025036879</v>
      </c>
      <c r="D45" s="5">
        <f>D46+D47</f>
        <v>916472.27476410824</v>
      </c>
      <c r="E45" s="5">
        <f>E46+E47</f>
        <v>984343.90009267395</v>
      </c>
      <c r="F45" s="5">
        <f>F46+F47</f>
        <v>1095814.3880715261</v>
      </c>
      <c r="G45" s="7">
        <f>SUM(C45:F45)</f>
        <v>3987498.6331786774</v>
      </c>
      <c r="H45" s="4">
        <f>C45+D45+E45+F45-G45</f>
        <v>0</v>
      </c>
      <c r="I45" s="91" t="s">
        <v>271</v>
      </c>
      <c r="J45" s="104">
        <f>J46+J47</f>
        <v>34.743991000000001</v>
      </c>
      <c r="K45" s="104">
        <f>K46+K47</f>
        <v>32.860843000000003</v>
      </c>
      <c r="L45" s="104">
        <f>L46+L47</f>
        <v>36.083156000000002</v>
      </c>
      <c r="M45" s="104">
        <f>M46+M47</f>
        <v>39.726413999999998</v>
      </c>
      <c r="N45" s="104">
        <f t="shared" ref="N45" si="16">N46+N47</f>
        <v>143.41440400000002</v>
      </c>
      <c r="O45" s="4"/>
    </row>
    <row r="46" spans="2:15" x14ac:dyDescent="0.2">
      <c r="B46" s="17" t="s">
        <v>307</v>
      </c>
      <c r="C46" s="8">
        <f>'Aramex Express+Parcel Forwardin'!W7</f>
        <v>560109.79993327393</v>
      </c>
      <c r="D46" s="8">
        <f>'Aramex Express+Parcel Forwardin'!X7</f>
        <v>494456.2377746806</v>
      </c>
      <c r="E46" s="8">
        <f>'Aramex Express+Parcel Forwardin'!Y7</f>
        <v>514235.3900693832</v>
      </c>
      <c r="F46" s="8">
        <f>'Aramex Express+Parcel Forwardin'!Z7</f>
        <v>575452.80596649961</v>
      </c>
      <c r="G46" s="10">
        <f>SUM(C46:F46)</f>
        <v>2144254.2337438376</v>
      </c>
      <c r="H46" s="4">
        <f t="shared" ref="H46:H47" si="17">C46+D46+E46+F46-G46</f>
        <v>0</v>
      </c>
      <c r="I46" s="95" t="s">
        <v>273</v>
      </c>
      <c r="J46" s="106">
        <f>'Aramex Courier'!W20/1000000</f>
        <v>6.3992800000000001</v>
      </c>
      <c r="K46" s="106">
        <f>'Aramex Courier'!X20/1000000</f>
        <v>5.2810009999999998</v>
      </c>
      <c r="L46" s="106">
        <f>'Aramex Courier'!Y20/1000000</f>
        <v>5.5733649999999999</v>
      </c>
      <c r="M46" s="106">
        <f>'Aramex Courier'!Z20/1000000</f>
        <v>6.3257919999999999</v>
      </c>
      <c r="N46" s="107">
        <f>SUM(J46:M46)</f>
        <v>23.579438</v>
      </c>
      <c r="O46" s="4"/>
    </row>
    <row r="47" spans="2:15" x14ac:dyDescent="0.2">
      <c r="B47" s="18" t="s">
        <v>274</v>
      </c>
      <c r="C47" s="5">
        <f>'Aramex Domestic'!W7</f>
        <v>430758.27031709487</v>
      </c>
      <c r="D47" s="5">
        <f>'Aramex Domestic'!X7</f>
        <v>422016.03698942758</v>
      </c>
      <c r="E47" s="5">
        <f>'Aramex Domestic'!Y7</f>
        <v>470108.51002329076</v>
      </c>
      <c r="F47" s="5">
        <f>'Aramex Domestic'!Z7</f>
        <v>520361.58210502652</v>
      </c>
      <c r="G47" s="11">
        <f t="shared" ref="G47" si="18">SUM(C47:F47)</f>
        <v>1843244.3994348398</v>
      </c>
      <c r="H47" s="4">
        <f t="shared" si="17"/>
        <v>0</v>
      </c>
      <c r="I47" s="99" t="s">
        <v>275</v>
      </c>
      <c r="J47" s="108">
        <f>'Aramex Courier'!W19/1000000</f>
        <v>28.344711</v>
      </c>
      <c r="K47" s="108">
        <f>'Aramex Courier'!X19/1000000</f>
        <v>27.579841999999999</v>
      </c>
      <c r="L47" s="108">
        <f>'Aramex Courier'!Y19/1000000</f>
        <v>30.509791</v>
      </c>
      <c r="M47" s="108">
        <f>'Aramex Courier'!Z19/1000000</f>
        <v>33.400621999999998</v>
      </c>
      <c r="N47" s="108">
        <f>SUM(J47:M47)</f>
        <v>119.83496600000001</v>
      </c>
      <c r="O47" s="4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6DD68-F16B-44D9-A77F-AE595237758B}">
  <dimension ref="B2:V13"/>
  <sheetViews>
    <sheetView showGridLines="0" workbookViewId="0">
      <selection activeCell="B2" sqref="B2"/>
    </sheetView>
  </sheetViews>
  <sheetFormatPr defaultColWidth="9.140625" defaultRowHeight="12.75" x14ac:dyDescent="0.2"/>
  <cols>
    <col min="1" max="1" width="9.140625" style="20"/>
    <col min="2" max="2" width="32" style="20" bestFit="1" customWidth="1"/>
    <col min="3" max="3" width="11.140625" style="20" customWidth="1"/>
    <col min="4" max="4" width="12.5703125" style="20" customWidth="1"/>
    <col min="5" max="5" width="12" style="20" customWidth="1"/>
    <col min="6" max="6" width="10.42578125" style="20" customWidth="1"/>
    <col min="7" max="7" width="11.5703125" style="20" customWidth="1"/>
    <col min="8" max="8" width="11.140625" style="20" customWidth="1"/>
    <col min="9" max="22" width="11" style="20" bestFit="1" customWidth="1"/>
    <col min="23" max="16384" width="9.140625" style="20"/>
  </cols>
  <sheetData>
    <row r="2" spans="2:22" x14ac:dyDescent="0.2">
      <c r="B2" s="204" t="s">
        <v>308</v>
      </c>
      <c r="C2" s="204" t="s">
        <v>69</v>
      </c>
      <c r="D2" s="204" t="s">
        <v>70</v>
      </c>
      <c r="E2" s="204" t="s">
        <v>71</v>
      </c>
      <c r="F2" s="204" t="s">
        <v>72</v>
      </c>
      <c r="G2" s="204" t="s">
        <v>73</v>
      </c>
      <c r="H2" s="204" t="s">
        <v>74</v>
      </c>
      <c r="I2" s="204" t="s">
        <v>75</v>
      </c>
      <c r="J2" s="204" t="s">
        <v>76</v>
      </c>
      <c r="K2" s="204" t="s">
        <v>77</v>
      </c>
      <c r="L2" s="204" t="s">
        <v>78</v>
      </c>
      <c r="M2" s="204" t="s">
        <v>79</v>
      </c>
      <c r="N2" s="204" t="s">
        <v>80</v>
      </c>
      <c r="O2" s="204" t="s">
        <v>81</v>
      </c>
      <c r="P2" s="204" t="s">
        <v>82</v>
      </c>
      <c r="Q2" s="204" t="s">
        <v>83</v>
      </c>
      <c r="R2" s="204" t="s">
        <v>320</v>
      </c>
      <c r="S2" s="204" t="s">
        <v>326</v>
      </c>
      <c r="T2" s="204" t="s">
        <v>338</v>
      </c>
      <c r="U2" s="204" t="s">
        <v>344</v>
      </c>
      <c r="V2" s="204" t="s">
        <v>352</v>
      </c>
    </row>
    <row r="3" spans="2:22" x14ac:dyDescent="0.2">
      <c r="B3" s="20" t="s">
        <v>309</v>
      </c>
      <c r="C3" s="205">
        <f>'Group Profit &amp; Loss Stm'!C10/'Group Profit &amp; Loss Stm'!$C$8</f>
        <v>0.25169393929398787</v>
      </c>
      <c r="D3" s="205">
        <f>'Group Profit &amp; Loss Stm'!D10/'Group Profit &amp; Loss Stm'!$D$8</f>
        <v>0.24741187187405111</v>
      </c>
      <c r="E3" s="205">
        <f>'Group Profit &amp; Loss Stm'!E10/'Group Profit &amp; Loss Stm'!$E$8</f>
        <v>0.24365610057177892</v>
      </c>
      <c r="F3" s="205">
        <f>'Group Profit &amp; Loss Stm'!F10/'Group Profit &amp; Loss Stm'!$F$8</f>
        <v>0.20320561945214063</v>
      </c>
      <c r="G3" s="205">
        <f>'Group Profit &amp; Loss Stm'!H10/'Group Profit &amp; Loss Stm'!$H$8</f>
        <v>0.23748544556615789</v>
      </c>
      <c r="H3" s="205">
        <f>'Group Profit &amp; Loss Stm'!I10/'Group Profit &amp; Loss Stm'!$I$8</f>
        <v>0.2496542186752698</v>
      </c>
      <c r="I3" s="205">
        <f>'Group Profit &amp; Loss Stm'!J10/'Group Profit &amp; Loss Stm'!$J$8</f>
        <v>0.22494442913815535</v>
      </c>
      <c r="J3" s="205">
        <f>'Group Profit &amp; Loss Stm'!K10/'Group Profit &amp; Loss Stm'!$K$8</f>
        <v>0.24817199552935346</v>
      </c>
      <c r="K3" s="205">
        <f>'Group Profit &amp; Loss Stm'!$M$10/'Group Profit &amp; Loss Stm'!$M$8</f>
        <v>0.25008801980585343</v>
      </c>
      <c r="L3" s="205">
        <f>'Group Profit &amp; Loss Stm'!$N$10/'Group Profit &amp; Loss Stm'!$N$8</f>
        <v>0.24880197466706253</v>
      </c>
      <c r="M3" s="205">
        <f>'Group Profit &amp; Loss Stm'!$O$10/'Group Profit &amp; Loss Stm'!$O$8</f>
        <v>0.24795288552104755</v>
      </c>
      <c r="N3" s="205">
        <f>'Group Profit &amp; Loss Stm'!$P$10/'Group Profit &amp; Loss Stm'!$P$8</f>
        <v>0.25506878118933862</v>
      </c>
      <c r="O3" s="205">
        <f>'Group Profit &amp; Loss Stm'!$R$10/'Group Profit &amp; Loss Stm'!$R$8</f>
        <v>0.25663689045813842</v>
      </c>
      <c r="P3" s="205">
        <f>'Group Profit &amp; Loss Stm'!$S$10/'Group Profit &amp; Loss Stm'!$S$8</f>
        <v>0.23066345941702562</v>
      </c>
      <c r="Q3" s="205">
        <f>'Group Profit &amp; Loss Stm'!$T$10/'Group Profit &amp; Loss Stm'!$T$8</f>
        <v>0.23428300268201183</v>
      </c>
      <c r="R3" s="205">
        <f>'Group Profit &amp; Loss Stm'!$U$10/'Group Profit &amp; Loss Stm'!$U$8</f>
        <v>0.2351493652897608</v>
      </c>
      <c r="S3" s="205">
        <f>'Group Profit &amp; Loss Stm'!$W$10/'Group Profit &amp; Loss Stm'!$W$8</f>
        <v>0.23331472721883495</v>
      </c>
      <c r="T3" s="205">
        <f>'Group Profit &amp; Loss Stm'!$X$10/'Group Profit &amp; Loss Stm'!$X$8</f>
        <v>0.21984861885572782</v>
      </c>
      <c r="U3" s="205">
        <f>'Group Profit &amp; Loss Stm'!$Y$10/'Group Profit &amp; Loss Stm'!$Y$8</f>
        <v>0.23155023628453605</v>
      </c>
      <c r="V3" s="205">
        <f>'Group Profit &amp; Loss Stm'!$Z$10/'Group Profit &amp; Loss Stm'!$Z$8</f>
        <v>0.22660270745121142</v>
      </c>
    </row>
    <row r="4" spans="2:22" x14ac:dyDescent="0.2">
      <c r="B4" s="20" t="s">
        <v>310</v>
      </c>
      <c r="C4" s="205">
        <f>'Group Profit &amp; Loss Stm'!C16/'Group Profit &amp; Loss Stm'!$C$8</f>
        <v>5.5760516459370371E-2</v>
      </c>
      <c r="D4" s="205">
        <f>'Group Profit &amp; Loss Stm'!D16/'Group Profit &amp; Loss Stm'!$D$8</f>
        <v>6.337166111897273E-2</v>
      </c>
      <c r="E4" s="205">
        <f>'Group Profit &amp; Loss Stm'!E16/'Group Profit &amp; Loss Stm'!$E$8</f>
        <v>4.6542913526991851E-2</v>
      </c>
      <c r="F4" s="205">
        <f>'Group Profit &amp; Loss Stm'!F16/'Group Profit &amp; Loss Stm'!$F$8</f>
        <v>3.639302656767264E-2</v>
      </c>
      <c r="G4" s="205">
        <f>'Group Profit &amp; Loss Stm'!H16/'Group Profit &amp; Loss Stm'!$H$8</f>
        <v>5.1766680577612939E-2</v>
      </c>
      <c r="H4" s="205">
        <f>'Group Profit &amp; Loss Stm'!I16/'Group Profit &amp; Loss Stm'!$I$8</f>
        <v>4.1915201644511735E-2</v>
      </c>
      <c r="I4" s="205">
        <f>'Group Profit &amp; Loss Stm'!J16/'Group Profit &amp; Loss Stm'!$J$8</f>
        <v>3.5693055943467569E-2</v>
      </c>
      <c r="J4" s="205">
        <f>'Group Profit &amp; Loss Stm'!K16/'Group Profit &amp; Loss Stm'!$K$8</f>
        <v>3.6401387436525656E-2</v>
      </c>
      <c r="K4" s="205">
        <f>'Group Profit &amp; Loss Stm'!$M$16/'Group Profit &amp; Loss Stm'!$M$8</f>
        <v>4.4009902926728399E-2</v>
      </c>
      <c r="L4" s="205">
        <f>'Group Profit &amp; Loss Stm'!$N$16/'Group Profit &amp; Loss Stm'!$N$8</f>
        <v>3.7989672933361363E-2</v>
      </c>
      <c r="M4" s="205">
        <f>'Group Profit &amp; Loss Stm'!$O$16/'Group Profit &amp; Loss Stm'!$O$8</f>
        <v>3.3125341640986003E-2</v>
      </c>
      <c r="N4" s="205">
        <f>'Group Profit &amp; Loss Stm'!$P$16/'Group Profit &amp; Loss Stm'!$P$8</f>
        <v>6.9678386642912274E-2</v>
      </c>
      <c r="O4" s="205">
        <f>'Group Profit &amp; Loss Stm'!$R$16/'Group Profit &amp; Loss Stm'!$R$8</f>
        <v>5.9977153459172691E-2</v>
      </c>
      <c r="P4" s="205">
        <f>'Group Profit &amp; Loss Stm'!$S$16/'Group Profit &amp; Loss Stm'!$S$8</f>
        <v>3.1386248628048875E-2</v>
      </c>
      <c r="Q4" s="205">
        <f>'Group Profit &amp; Loss Stm'!$T$16/'Group Profit &amp; Loss Stm'!$T$8</f>
        <v>4.2780230704679019E-2</v>
      </c>
      <c r="R4" s="205">
        <f>'Group Profit &amp; Loss Stm'!$U$16/'Group Profit &amp; Loss Stm'!$U$8</f>
        <v>5.2612820354823987E-2</v>
      </c>
      <c r="S4" s="205">
        <f>'Group Profit &amp; Loss Stm'!$W$16/'Group Profit &amp; Loss Stm'!$W$8</f>
        <v>3.8965632439728018E-2</v>
      </c>
      <c r="T4" s="205">
        <f>'Group Profit &amp; Loss Stm'!$X$16/'Group Profit &amp; Loss Stm'!$X$8</f>
        <v>1.0769747081326515E-2</v>
      </c>
      <c r="U4" s="205">
        <f>'Group Profit &amp; Loss Stm'!$Y$16/'Group Profit &amp; Loss Stm'!$Y$8</f>
        <v>4.0100681817137954E-2</v>
      </c>
      <c r="V4" s="205">
        <f>'Group Profit &amp; Loss Stm'!$Z$16/'Group Profit &amp; Loss Stm'!$Z$8</f>
        <v>3.0322492047902692E-2</v>
      </c>
    </row>
    <row r="5" spans="2:22" x14ac:dyDescent="0.2">
      <c r="B5" s="20" t="s">
        <v>213</v>
      </c>
      <c r="C5" s="205">
        <v>0.1191944670761533</v>
      </c>
      <c r="D5" s="205">
        <v>0.12267394038048969</v>
      </c>
      <c r="E5" s="205">
        <v>0.11162854256833539</v>
      </c>
      <c r="F5" s="205">
        <v>9.2863373116938347E-2</v>
      </c>
      <c r="G5" s="205">
        <v>0.11728283799012065</v>
      </c>
      <c r="H5" s="205">
        <v>0.10255493410220939</v>
      </c>
      <c r="I5" s="205">
        <v>9.9110944862207243E-2</v>
      </c>
      <c r="J5" s="205">
        <v>9.6755640701973594E-2</v>
      </c>
      <c r="K5" s="205">
        <v>0.10699506618275484</v>
      </c>
      <c r="L5" s="205">
        <v>0.10317486160973684</v>
      </c>
      <c r="M5" s="205">
        <v>9.9183019406549305E-2</v>
      </c>
      <c r="N5" s="205">
        <f>+'[30]Act''23 vs Act''22-QTD'!$E$73</f>
        <v>0.12953279078273386</v>
      </c>
      <c r="O5" s="205">
        <f>+'[31]Act''24 vs Act''23-QTD'!$E$73</f>
        <v>0.11759196544908526</v>
      </c>
      <c r="P5" s="205">
        <f>+'[32]Act''24 vs Act''23-QTD'!$E$73</f>
        <v>9.017848286822544E-2</v>
      </c>
      <c r="Q5" s="205">
        <f>+'[33]Act''24 vs Act''23-QTD'!$E$73</f>
        <v>9.8451384137138387E-2</v>
      </c>
      <c r="R5" s="205">
        <f>+'[34]Act''24 vs Act''23-QTD'!$E$73</f>
        <v>0.10467062027211883</v>
      </c>
      <c r="S5" s="205">
        <f>+'[35]Act''25 vs Act''24-QTD'!$E$73</f>
        <v>9.4015904800755043E-2</v>
      </c>
      <c r="T5" s="205">
        <f>+'[36]Act''25 vs Act''24-QTD'!$E$73</f>
        <v>6.9972411655654515E-2</v>
      </c>
      <c r="U5" s="205">
        <f>+'[37]Act''25 vs Act''24-QTD'!$E$73</f>
        <v>0.10245562369161779</v>
      </c>
      <c r="V5" s="205">
        <f>+'[38]Act''25 vs Act''24-QTD'!$E$73</f>
        <v>9.0208161950150384E-2</v>
      </c>
    </row>
    <row r="6" spans="2:22" x14ac:dyDescent="0.2">
      <c r="B6" s="20" t="s">
        <v>311</v>
      </c>
      <c r="C6" s="205">
        <f>'Group Profit &amp; Loss Stm'!C34/'Group Profit &amp; Loss Stm'!$C$8</f>
        <v>3.2291342821030883E-2</v>
      </c>
      <c r="D6" s="205">
        <f>'Group Profit &amp; Loss Stm'!D34/'Group Profit &amp; Loss Stm'!$D$8</f>
        <v>4.1673589348427645E-2</v>
      </c>
      <c r="E6" s="205">
        <f>'Group Profit &amp; Loss Stm'!E34/'Group Profit &amp; Loss Stm'!$E$8</f>
        <v>4.6404006010658243E-2</v>
      </c>
      <c r="F6" s="205">
        <f>'Group Profit &amp; Loss Stm'!F34/'Group Profit &amp; Loss Stm'!$F$8</f>
        <v>2.8697306001383767E-2</v>
      </c>
      <c r="G6" s="205">
        <f>'Group Profit &amp; Loss Stm'!H34/'Group Profit &amp; Loss Stm'!$H$8</f>
        <v>3.2646323570520483E-2</v>
      </c>
      <c r="H6" s="205">
        <f>'Group Profit &amp; Loss Stm'!I34/'Group Profit &amp; Loss Stm'!$I$8</f>
        <v>2.9387293737611776E-2</v>
      </c>
      <c r="I6" s="205">
        <f>'Group Profit &amp; Loss Stm'!J34/'Group Profit &amp; Loss Stm'!$J$8</f>
        <v>2.7795580377731208E-2</v>
      </c>
      <c r="J6" s="205">
        <f>'Group Profit &amp; Loss Stm'!K34/'Group Profit &amp; Loss Stm'!$K$8</f>
        <v>2.2072777186619204E-2</v>
      </c>
      <c r="K6" s="205">
        <f>'Group Profit &amp; Loss Stm'!$M$34/'Group Profit &amp; Loss Stm'!$M$8</f>
        <v>1.6702107445637292E-2</v>
      </c>
      <c r="L6" s="205">
        <f>'Group Profit &amp; Loss Stm'!$N$34/'Group Profit &amp; Loss Stm'!$N$8</f>
        <v>1.3652107824654159E-2</v>
      </c>
      <c r="M6" s="205">
        <f>'Group Profit &amp; Loss Stm'!$O$34/'Group Profit &amp; Loss Stm'!$O$8</f>
        <v>7.143401159549076E-3</v>
      </c>
      <c r="N6" s="205">
        <f>'Group Profit &amp; Loss Stm'!$P$34/'Group Profit &amp; Loss Stm'!$P$8</f>
        <v>5.0384165067550224E-2</v>
      </c>
      <c r="O6" s="205">
        <f>'Group Profit &amp; Loss Stm'!$R$34/'Group Profit &amp; Loss Stm'!$R$8</f>
        <v>3.0223168911970966E-2</v>
      </c>
      <c r="P6" s="205">
        <f>'Group Profit &amp; Loss Stm'!$S$34/'Group Profit &amp; Loss Stm'!$S$8</f>
        <v>1.9335943368816721E-3</v>
      </c>
      <c r="Q6" s="205">
        <f>'Group Profit &amp; Loss Stm'!$T$34/'Group Profit &amp; Loss Stm'!$T$8</f>
        <v>1.6758270447252199E-2</v>
      </c>
      <c r="R6" s="205">
        <f>'Group Profit &amp; Loss Stm'!$U$34/'Group Profit &amp; Loss Stm'!$U$8</f>
        <v>3.8738828178110044E-2</v>
      </c>
      <c r="S6" s="205">
        <f>'Group Profit &amp; Loss Stm'!$W$34/'Group Profit &amp; Loss Stm'!$W$8</f>
        <v>1.0955071951277819E-2</v>
      </c>
      <c r="T6" s="205">
        <f>'Group Profit &amp; Loss Stm'!$X$34/'Group Profit &amp; Loss Stm'!$X$8</f>
        <v>-6.1891008779601676E-3</v>
      </c>
      <c r="U6" s="205">
        <f>'Group Profit &amp; Loss Stm'!$Y$34/'Group Profit &amp; Loss Stm'!$Y$8</f>
        <v>3.2594135605946346E-3</v>
      </c>
      <c r="V6" s="205">
        <f>'Group Profit &amp; Loss Stm'!$Z$34/'Group Profit &amp; Loss Stm'!$Z$8</f>
        <v>4.4210497165416973E-3</v>
      </c>
    </row>
    <row r="7" spans="2:22" x14ac:dyDescent="0.2">
      <c r="B7" s="20" t="s">
        <v>312</v>
      </c>
      <c r="C7" s="31">
        <f>'Group Profit &amp; Loss Stm'!C41</f>
        <v>2.7768595041322314E-2</v>
      </c>
      <c r="D7" s="31">
        <f>'Group Profit &amp; Loss Stm'!D41</f>
        <v>4.1266989959702204E-2</v>
      </c>
      <c r="E7" s="31">
        <f>'Group Profit &amp; Loss Stm'!E41</f>
        <v>2.1412471825694966E-2</v>
      </c>
      <c r="F7" s="31">
        <f>'Group Profit &amp; Loss Stm'!F41</f>
        <v>3.2012840652960867E-2</v>
      </c>
      <c r="G7" s="31">
        <f>'Group Profit &amp; Loss Stm'!H41</f>
        <v>3.1756155923969603E-2</v>
      </c>
      <c r="H7" s="31">
        <f>'Group Profit &amp; Loss Stm'!I41</f>
        <v>3.0457235940857662E-2</v>
      </c>
      <c r="I7" s="31">
        <f>'Group Profit &amp; Loss Stm'!J41</f>
        <v>2.5224520448297455E-2</v>
      </c>
      <c r="J7" s="31">
        <f>'Group Profit &amp; Loss Stm'!K41</f>
        <v>2.2535450162116045E-2</v>
      </c>
      <c r="K7" s="31">
        <f>'Group Profit &amp; Loss Stm'!M41</f>
        <v>1.65760535482549E-2</v>
      </c>
      <c r="L7" s="31">
        <f>'Group Profit &amp; Loss Stm'!N41</f>
        <v>1.3321668888472919E-2</v>
      </c>
      <c r="M7" s="31">
        <f>'Group Profit &amp; Loss Stm'!O41</f>
        <v>6.8128779092444846E-3</v>
      </c>
      <c r="N7" s="31">
        <f>'Group Profit &amp; Loss Stm'!P41</f>
        <v>5.2508514118721275E-2</v>
      </c>
      <c r="O7" s="31">
        <f>'Group Profit &amp; Loss Stm'!R41</f>
        <v>3.1998572222031021E-2</v>
      </c>
      <c r="P7" s="31">
        <f>'Group Profit &amp; Loss Stm'!S41</f>
        <v>2.158665861238787E-3</v>
      </c>
      <c r="Q7" s="31">
        <f>'Group Profit &amp; Loss Stm'!T41</f>
        <v>1.8363424787076199E-2</v>
      </c>
      <c r="R7" s="31">
        <f>'Group Profit &amp; Loss Stm'!U41</f>
        <v>4.0008612932086782E-2</v>
      </c>
      <c r="S7" s="31">
        <f>'Group Profit &amp; Loss Stm'!W41</f>
        <v>1.1695216029606189E-2</v>
      </c>
      <c r="T7" s="260">
        <f>'Group Profit &amp; Loss Stm'!X41</f>
        <v>-6.3310918345715877E-3</v>
      </c>
      <c r="U7" s="260">
        <f>'Group Profit &amp; Loss Stm'!Y41</f>
        <v>3.5598961474200223E-3</v>
      </c>
      <c r="V7" s="260">
        <f>'Group Profit &amp; Loss Stm'!Z41</f>
        <v>5.1338794413131059E-3</v>
      </c>
    </row>
    <row r="10" spans="2:22" x14ac:dyDescent="0.2">
      <c r="B10" s="168" t="s">
        <v>313</v>
      </c>
      <c r="C10" s="169">
        <v>2017</v>
      </c>
      <c r="D10" s="169">
        <v>2018</v>
      </c>
      <c r="E10" s="169">
        <v>2019</v>
      </c>
      <c r="F10" s="169">
        <v>2020</v>
      </c>
      <c r="G10" s="169">
        <v>2021</v>
      </c>
      <c r="H10" s="169">
        <v>2022</v>
      </c>
      <c r="I10" s="169">
        <v>2023</v>
      </c>
      <c r="J10" s="169">
        <v>2024</v>
      </c>
      <c r="K10" s="169">
        <v>2025</v>
      </c>
    </row>
    <row r="11" spans="2:22" x14ac:dyDescent="0.2">
      <c r="B11" s="63" t="s">
        <v>314</v>
      </c>
      <c r="C11" s="2">
        <v>0.16299979509596338</v>
      </c>
      <c r="D11" s="2">
        <v>0.16500034150672768</v>
      </c>
      <c r="E11" s="2">
        <v>0.16500000000885801</v>
      </c>
      <c r="F11" s="2">
        <v>0.13000000000697903</v>
      </c>
      <c r="G11" s="2">
        <v>0.13</v>
      </c>
      <c r="H11" s="231">
        <v>9.5334933401070077E-2</v>
      </c>
      <c r="I11" s="249" t="s">
        <v>315</v>
      </c>
      <c r="J11" s="249" t="s">
        <v>315</v>
      </c>
      <c r="K11" s="249" t="s">
        <v>315</v>
      </c>
    </row>
    <row r="12" spans="2:22" x14ac:dyDescent="0.2">
      <c r="B12" s="63" t="s">
        <v>316</v>
      </c>
      <c r="C12" s="2">
        <v>0.54811333971828136</v>
      </c>
      <c r="D12" s="2">
        <v>0.49037725699554435</v>
      </c>
      <c r="E12" s="2">
        <v>0.48567852837348008</v>
      </c>
      <c r="F12" s="2">
        <v>0.71378800837877832</v>
      </c>
      <c r="G12" s="2">
        <v>0.84389534501584196</v>
      </c>
      <c r="H12" s="231">
        <v>0.84400000000000008</v>
      </c>
      <c r="I12" s="249" t="s">
        <v>315</v>
      </c>
      <c r="J12" s="249" t="s">
        <v>315</v>
      </c>
      <c r="K12" s="249" t="s">
        <v>315</v>
      </c>
    </row>
    <row r="13" spans="2:22" x14ac:dyDescent="0.2">
      <c r="B13" s="23" t="s">
        <v>317</v>
      </c>
      <c r="C13" s="195">
        <v>0.16299999999999998</v>
      </c>
      <c r="D13" s="195">
        <v>0.16500000000000001</v>
      </c>
      <c r="E13" s="195">
        <v>0.16500000000000001</v>
      </c>
      <c r="F13" s="195">
        <v>0.13</v>
      </c>
      <c r="G13" s="195">
        <v>0.13</v>
      </c>
      <c r="H13" s="195">
        <v>9.5334933401070077E-2</v>
      </c>
      <c r="I13" s="249" t="s">
        <v>315</v>
      </c>
      <c r="J13" s="249" t="s">
        <v>315</v>
      </c>
      <c r="K13" s="249" t="s">
        <v>315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3B09D-8F59-4687-B8D2-95A4C8FAC1C0}">
  <dimension ref="B4:B16"/>
  <sheetViews>
    <sheetView showGridLines="0" workbookViewId="0">
      <selection activeCell="D27" sqref="D27"/>
    </sheetView>
  </sheetViews>
  <sheetFormatPr defaultColWidth="9.140625" defaultRowHeight="12.75" x14ac:dyDescent="0.2"/>
  <cols>
    <col min="1" max="1" width="9.140625" style="20"/>
    <col min="2" max="2" width="9.140625" style="158"/>
    <col min="3" max="16384" width="9.140625" style="20"/>
  </cols>
  <sheetData>
    <row r="4" spans="2:2" x14ac:dyDescent="0.2">
      <c r="B4" s="157" t="s">
        <v>6</v>
      </c>
    </row>
    <row r="5" spans="2:2" x14ac:dyDescent="0.2">
      <c r="B5" s="158" t="s">
        <v>365</v>
      </c>
    </row>
    <row r="8" spans="2:2" x14ac:dyDescent="0.2">
      <c r="B8" s="19" t="s">
        <v>7</v>
      </c>
    </row>
    <row r="9" spans="2:2" x14ac:dyDescent="0.2">
      <c r="B9" s="19" t="s">
        <v>8</v>
      </c>
    </row>
    <row r="10" spans="2:2" x14ac:dyDescent="0.2">
      <c r="B10" s="19" t="s">
        <v>9</v>
      </c>
    </row>
    <row r="11" spans="2:2" x14ac:dyDescent="0.2">
      <c r="B11" s="19" t="s">
        <v>10</v>
      </c>
    </row>
    <row r="12" spans="2:2" x14ac:dyDescent="0.2">
      <c r="B12" s="159" t="s">
        <v>11</v>
      </c>
    </row>
    <row r="13" spans="2:2" x14ac:dyDescent="0.2">
      <c r="B13" s="159" t="s">
        <v>12</v>
      </c>
    </row>
    <row r="14" spans="2:2" x14ac:dyDescent="0.2">
      <c r="B14" s="19" t="s">
        <v>13</v>
      </c>
    </row>
    <row r="15" spans="2:2" x14ac:dyDescent="0.2">
      <c r="B15" s="159" t="s">
        <v>14</v>
      </c>
    </row>
    <row r="16" spans="2:2" x14ac:dyDescent="0.2">
      <c r="B16" s="159" t="s">
        <v>15</v>
      </c>
    </row>
  </sheetData>
  <hyperlinks>
    <hyperlink ref="B8" location="'Group Profit &amp; Loss Stm'!A1" display="Income Statement" xr:uid="{5E77029C-D4B0-46F2-A567-1DDA09D60EFD}"/>
    <hyperlink ref="B9" location="'Group Balance Sheet'!A1" display="Balance Sheet" xr:uid="{EF42CBB8-3361-49C5-8312-EE6A036945FA}"/>
    <hyperlink ref="B10" location="'Group CF and CAPEX'!A1" display="Cashflow and Capex " xr:uid="{EFB99A7D-2BF4-47E8-AA75-A43E5A1E2DEA}"/>
    <hyperlink ref="B11" location="'Aramex Courier'!A1" display="Aramex Courier Product " xr:uid="{B2EF911D-3C6D-4DFB-86FC-BDFE2AD5BD16}"/>
    <hyperlink ref="B12" location="'Aramex Freight'!A1" display="Aramex Freight Product" xr:uid="{5E637270-6392-4993-A721-9CFED8ECAA03}"/>
    <hyperlink ref="B13" location="'Aramex Logistics'!A1" display="Aramex Logistics Product" xr:uid="{2C25CBA1-856C-49A6-BAC4-242B1B96DE49}"/>
    <hyperlink ref="B14" location="'Regional Breakdown'!A1" display="Regional Breakdown" xr:uid="{F61F82BE-0B45-4964-AAF8-19A0A950DC76}"/>
    <hyperlink ref="B15" location="Historic_Product_Breakdown!A1" display="Historic Product Breakdown Key Financials" xr:uid="{49083360-0C32-490F-B6A2-1F03951C06F7}"/>
    <hyperlink ref="B16" location="'Historic Express Rev_Vol_ Data'!A1" display="Historic Express Volume Data " xr:uid="{5C361A7C-BA0D-4CA0-85CC-C88649AD6A8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2C2E-26A6-42AF-B17B-CE7FE55CFB4A}">
  <dimension ref="A1:AI42"/>
  <sheetViews>
    <sheetView showGridLines="0" workbookViewId="0">
      <pane xSplit="2" ySplit="7" topLeftCell="R8" activePane="bottomRight" state="frozen"/>
      <selection pane="topRight" activeCell="B7" sqref="B7"/>
      <selection pane="bottomLeft" activeCell="B7" sqref="B7"/>
      <selection pane="bottomRight" activeCell="U21" sqref="U21"/>
    </sheetView>
  </sheetViews>
  <sheetFormatPr defaultColWidth="9.140625" defaultRowHeight="12.75" x14ac:dyDescent="0.2"/>
  <cols>
    <col min="1" max="1" width="4.85546875" style="20" customWidth="1"/>
    <col min="2" max="2" width="66.85546875" style="20" customWidth="1"/>
    <col min="3" max="5" width="10" style="20" bestFit="1" customWidth="1"/>
    <col min="6" max="6" width="10" style="20" customWidth="1"/>
    <col min="7" max="8" width="10" style="20" bestFit="1" customWidth="1"/>
    <col min="9" max="12" width="10" style="20" customWidth="1"/>
    <col min="13" max="16" width="10" style="20" bestFit="1" customWidth="1"/>
    <col min="17" max="27" width="10" style="20" customWidth="1"/>
    <col min="28" max="28" width="12.7109375" style="20" customWidth="1"/>
    <col min="29" max="29" width="8.85546875" style="20" customWidth="1"/>
    <col min="30" max="30" width="13.28515625" style="20" customWidth="1"/>
    <col min="31" max="31" width="8.140625" style="20" customWidth="1"/>
    <col min="32" max="16384" width="9.140625" style="20"/>
  </cols>
  <sheetData>
    <row r="1" spans="1:35" x14ac:dyDescent="0.2">
      <c r="A1" s="154">
        <f>'2025 IR Data Book'!$A$5</f>
        <v>1</v>
      </c>
    </row>
    <row r="3" spans="1:35" ht="15.75" x14ac:dyDescent="0.25">
      <c r="B3" s="123" t="s">
        <v>16</v>
      </c>
    </row>
    <row r="5" spans="1:35" x14ac:dyDescent="0.2">
      <c r="B5" s="117" t="s">
        <v>325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275" t="s">
        <v>17</v>
      </c>
      <c r="AC5" s="275"/>
      <c r="AD5" s="275" t="s">
        <v>17</v>
      </c>
      <c r="AE5" s="275"/>
    </row>
    <row r="6" spans="1:35" ht="25.5" x14ac:dyDescent="0.2">
      <c r="B6" s="119"/>
      <c r="C6" s="120" t="s">
        <v>18</v>
      </c>
      <c r="D6" s="120" t="s">
        <v>19</v>
      </c>
      <c r="E6" s="120" t="s">
        <v>20</v>
      </c>
      <c r="F6" s="120" t="s">
        <v>21</v>
      </c>
      <c r="G6" s="120" t="s">
        <v>22</v>
      </c>
      <c r="H6" s="120" t="s">
        <v>23</v>
      </c>
      <c r="I6" s="120" t="s">
        <v>24</v>
      </c>
      <c r="J6" s="120" t="s">
        <v>25</v>
      </c>
      <c r="K6" s="120" t="s">
        <v>26</v>
      </c>
      <c r="L6" s="120" t="s">
        <v>27</v>
      </c>
      <c r="M6" s="120" t="s">
        <v>28</v>
      </c>
      <c r="N6" s="120" t="s">
        <v>29</v>
      </c>
      <c r="O6" s="120" t="s">
        <v>30</v>
      </c>
      <c r="P6" s="120" t="s">
        <v>31</v>
      </c>
      <c r="Q6" s="120" t="s">
        <v>32</v>
      </c>
      <c r="R6" s="120" t="s">
        <v>33</v>
      </c>
      <c r="S6" s="120" t="s">
        <v>34</v>
      </c>
      <c r="T6" s="120" t="s">
        <v>35</v>
      </c>
      <c r="U6" s="120" t="s">
        <v>318</v>
      </c>
      <c r="V6" s="120" t="s">
        <v>319</v>
      </c>
      <c r="W6" s="120" t="s">
        <v>323</v>
      </c>
      <c r="X6" s="120" t="s">
        <v>337</v>
      </c>
      <c r="Y6" s="120" t="s">
        <v>343</v>
      </c>
      <c r="Z6" s="120" t="s">
        <v>349</v>
      </c>
      <c r="AA6" s="120" t="s">
        <v>353</v>
      </c>
      <c r="AB6" s="121" t="s">
        <v>350</v>
      </c>
      <c r="AC6" s="120" t="s">
        <v>36</v>
      </c>
      <c r="AD6" s="121" t="s">
        <v>351</v>
      </c>
      <c r="AE6" s="120" t="s">
        <v>36</v>
      </c>
    </row>
    <row r="7" spans="1:35" ht="15" x14ac:dyDescent="0.25">
      <c r="B7" s="21" t="s">
        <v>37</v>
      </c>
    </row>
    <row r="8" spans="1:35" x14ac:dyDescent="0.2">
      <c r="B8" s="22" t="s">
        <v>38</v>
      </c>
      <c r="C8" s="28">
        <f>((1424933))*('2025 IR Data Book'!$A$5)</f>
        <v>1424933</v>
      </c>
      <c r="D8" s="28">
        <f>(1570923)*('2025 IR Data Book'!$A$5)</f>
        <v>1570923</v>
      </c>
      <c r="E8" s="28">
        <f>(1461404)*('2025 IR Data Book'!$A$5)</f>
        <v>1461404</v>
      </c>
      <c r="F8" s="28">
        <f>G8-C8-D8-E8</f>
        <v>1611545</v>
      </c>
      <c r="G8" s="28">
        <f>(6068805)*('2025 IR Data Book'!$A$5)</f>
        <v>6068805</v>
      </c>
      <c r="H8" s="28">
        <f>(1448931.82909692)*('2025 IR Data Book'!$A$5)</f>
        <v>1448931.8290969201</v>
      </c>
      <c r="I8" s="28">
        <f>(1516588.75107447)*('2025 IR Data Book'!$A$5)</f>
        <v>1516588.7510744701</v>
      </c>
      <c r="J8" s="28">
        <f>1426250.44629083*('2025 IR Data Book'!$A$5)</f>
        <v>1426250.4462908299</v>
      </c>
      <c r="K8" s="28">
        <f>L8-H8-I8-J8</f>
        <v>1534233.9735377801</v>
      </c>
      <c r="L8" s="28">
        <f>5926005*('2025 IR Data Book'!$A$5)</f>
        <v>5926005</v>
      </c>
      <c r="M8" s="28">
        <f>1431496*('2025 IR Data Book'!$A$5)</f>
        <v>1431496</v>
      </c>
      <c r="N8" s="28">
        <f>1388839.25356387*((('2025 IR Data Book'!$A$5)))</f>
        <v>1388839.25356387</v>
      </c>
      <c r="O8" s="28">
        <f>1349677.80025126*((('2025 IR Data Book'!$A$5)))</f>
        <v>1349677.8002512599</v>
      </c>
      <c r="P8" s="28">
        <f>(Q8-M8-N8-O8)</f>
        <v>1524009.2633979763</v>
      </c>
      <c r="Q8" s="28">
        <f>'[7]IS package Dec YTD''23 Exc Info'!$C$12*('2025 IR Data Book'!$A$5)</f>
        <v>5694022.317213106</v>
      </c>
      <c r="R8" s="28">
        <f>'[8]IS package 1st Qrt''24 Exc Info'!$C$12*('2025 IR Data Book'!$A$5)</f>
        <v>1540700.6575151267</v>
      </c>
      <c r="S8" s="28">
        <f>'[9]IS package 2nd Qrt''24 Exc Info'!$C$12*('2025 IR Data Book'!$A$5)</f>
        <v>1496254.7168045281</v>
      </c>
      <c r="T8" s="28">
        <f>'[10]IS package 3rd Qrt''24 Exc Info'!$C$12*('2025 IR Data Book'!$A$5)</f>
        <v>1592356.0932372939</v>
      </c>
      <c r="U8" s="28">
        <f>(V8-R8-S8-T8)</f>
        <v>1695132.2454908234</v>
      </c>
      <c r="V8" s="28">
        <f>'[11]IS package Dec YTD''24 Exc Info'!$C$12*('2025 IR Data Book'!$A$5)</f>
        <v>6324443.7130477717</v>
      </c>
      <c r="W8" s="28">
        <f>'[12]IS package 1st Qtr''25 Exc Info'!$C$12*('2025 IR Data Book'!$A$5)</f>
        <v>1563017.1910417411</v>
      </c>
      <c r="X8" s="28">
        <f>'[13]IS package 2nd Qrt''25 Exc Info'!$C$12*('2025 IR Data Book'!$A$5)</f>
        <v>1497689.5251465503</v>
      </c>
      <c r="Y8" s="28">
        <f>'[14]IS package 3rd Qrt''25 Exc Info'!$C$12*('2025 IR Data Book'!$A$5)</f>
        <v>1599074.1440269363</v>
      </c>
      <c r="Z8" s="28">
        <f>'[15]IS package 4th Qrt''25 Exc Info'!$C$12*('2025 IR Data Book'!$A$5)</f>
        <v>1700164.750896808</v>
      </c>
      <c r="AA8" s="28">
        <f>'[15]IS package Dec YTD''25 Exc Info'!$C$12*('2025 IR Data Book'!$A$5)</f>
        <v>6359945.6111120367</v>
      </c>
      <c r="AB8" s="28">
        <f>Z8-U8</f>
        <v>5032.5054059845861</v>
      </c>
      <c r="AC8" s="32">
        <f>AB8/U8</f>
        <v>2.9687981096291577E-3</v>
      </c>
      <c r="AD8" s="28">
        <f>(AA8)-(V8)</f>
        <v>35501.898064265028</v>
      </c>
      <c r="AE8" s="32">
        <f>AD8/(V8)</f>
        <v>5.6134420156229896E-3</v>
      </c>
    </row>
    <row r="9" spans="1:35" x14ac:dyDescent="0.2">
      <c r="B9" s="22" t="s">
        <v>39</v>
      </c>
      <c r="C9" s="28">
        <f>-1066286*('2025 IR Data Book'!$A$5)</f>
        <v>-1066286</v>
      </c>
      <c r="D9" s="28">
        <f>-1182258*('2025 IR Data Book'!$A$5)</f>
        <v>-1182258</v>
      </c>
      <c r="E9" s="28">
        <f>-1105324*('2025 IR Data Book'!$A$5)</f>
        <v>-1105324</v>
      </c>
      <c r="F9" s="28">
        <f>G9-C9-D9-E9</f>
        <v>-1284070</v>
      </c>
      <c r="G9" s="28">
        <f>(-4637938)*('2025 IR Data Book'!$A$5)</f>
        <v>-4637938</v>
      </c>
      <c r="H9" s="28">
        <f>-1104831.60806885*('2025 IR Data Book'!$A$5)</f>
        <v>-1104831.6080688499</v>
      </c>
      <c r="I9" s="28">
        <f>-1137965.97137327*('2025 IR Data Book'!$A$5)</f>
        <v>-1137965.97137327</v>
      </c>
      <c r="J9" s="28">
        <f>-1105423.3538419*('2025 IR Data Book'!$A$5)</f>
        <v>-1105423.3538418999</v>
      </c>
      <c r="K9" s="28">
        <f>L9-H9-I9-J9</f>
        <v>-1153480.0667159799</v>
      </c>
      <c r="L9" s="28">
        <f>-4501701*('2025 IR Data Book'!$A$5)</f>
        <v>-4501701</v>
      </c>
      <c r="M9" s="28">
        <f>-1073496*('2025 IR Data Book'!$A$5)</f>
        <v>-1073496</v>
      </c>
      <c r="N9" s="28">
        <f>-1043293.30478205*((('2025 IR Data Book'!$A$5)))</f>
        <v>-1043293.30478205</v>
      </c>
      <c r="O9" s="28">
        <f>-1015021.29515526*((('2025 IR Data Book'!$A$5)))</f>
        <v>-1015021.29515526</v>
      </c>
      <c r="P9" s="28">
        <f>(Q9-M9-N9-O9)</f>
        <v>-1135282.0780617928</v>
      </c>
      <c r="Q9" s="28">
        <f>'[7]IS package Dec YTD''23 Exc Info'!$C$13*('2025 IR Data Book'!$A$5)</f>
        <v>-4267092.6779991025</v>
      </c>
      <c r="R9" s="28">
        <f>'[8]IS package 1st Qrt''24 Exc Info'!$C$13*('2025 IR Data Book'!$A$5)</f>
        <v>-1145300.0316436354</v>
      </c>
      <c r="S9" s="28">
        <f>'[9]IS package 2nd Qrt''24 Exc Info'!$C$13*('2025 IR Data Book'!$A$5)</f>
        <v>-1151123.4276573537</v>
      </c>
      <c r="T9" s="28">
        <f>'[10]IS package 3rd Qrt''24 Exc Info'!$C$13*('2025 IR Data Book'!$A$5)</f>
        <v>-1219294.1263746631</v>
      </c>
      <c r="U9" s="28">
        <f>(V9-R9-S9-T9)</f>
        <v>-1296522.9738814493</v>
      </c>
      <c r="V9" s="28">
        <f>'[11]IS package Dec YTD''24 Exc Info'!$C$13*('2025 IR Data Book'!$A$5)</f>
        <v>-4812240.5595571017</v>
      </c>
      <c r="W9" s="28">
        <f>'[12]IS package 1st Qtr''25 Exc Info'!$C$13*('2025 IR Data Book'!$A$5)</f>
        <v>-1198342.2614754876</v>
      </c>
      <c r="X9" s="28">
        <f>'[13]IS package 2nd Qrt''25 Exc Info'!$C$13*('2025 IR Data Book'!$A$5)</f>
        <v>-1168424.5515683903</v>
      </c>
      <c r="Y9" s="28">
        <f>'[14]IS package 3rd Qrt''25 Exc Info'!$C$13*('2025 IR Data Book'!$A$5)</f>
        <v>-1228808.1481410069</v>
      </c>
      <c r="Z9" s="28">
        <f>'[15]IS package 4th Qrt''25 Exc Info'!$C$13*('2025 IR Data Book'!$A$5)</f>
        <v>-1314902.8152304769</v>
      </c>
      <c r="AA9" s="28">
        <f>'[15]IS package Dec YTD''25 Exc Info'!$C$13*('2025 IR Data Book'!$A$5)</f>
        <v>-4910477.7764153611</v>
      </c>
      <c r="AB9" s="35">
        <f>Z9-U9</f>
        <v>-18379.841349027585</v>
      </c>
      <c r="AC9" s="36">
        <f>AB9/U9</f>
        <v>1.4176255815971518E-2</v>
      </c>
      <c r="AD9" s="35">
        <f>(AA9)-(V9)</f>
        <v>-98237.216858259402</v>
      </c>
      <c r="AE9" s="36">
        <f>AD9/(V9)</f>
        <v>2.0414028692551635E-2</v>
      </c>
    </row>
    <row r="10" spans="1:35" x14ac:dyDescent="0.2">
      <c r="B10" s="23" t="s">
        <v>40</v>
      </c>
      <c r="C10" s="29">
        <f>C8+C9</f>
        <v>358647</v>
      </c>
      <c r="D10" s="29">
        <f>D8+D9</f>
        <v>388665</v>
      </c>
      <c r="E10" s="29">
        <f t="shared" ref="E10:G10" si="0">E8+E9</f>
        <v>356080</v>
      </c>
      <c r="F10" s="29">
        <f t="shared" si="0"/>
        <v>327475</v>
      </c>
      <c r="G10" s="29">
        <f t="shared" si="0"/>
        <v>1430867</v>
      </c>
      <c r="H10" s="29">
        <f t="shared" ref="H10:N10" si="1">H8+H9</f>
        <v>344100.2210280702</v>
      </c>
      <c r="I10" s="29">
        <f t="shared" si="1"/>
        <v>378622.77970120008</v>
      </c>
      <c r="J10" s="29">
        <f t="shared" si="1"/>
        <v>320827.09244893002</v>
      </c>
      <c r="K10" s="29">
        <f t="shared" si="1"/>
        <v>380753.90682180016</v>
      </c>
      <c r="L10" s="29">
        <f t="shared" si="1"/>
        <v>1424304</v>
      </c>
      <c r="M10" s="29">
        <f t="shared" si="1"/>
        <v>358000</v>
      </c>
      <c r="N10" s="29">
        <f t="shared" si="1"/>
        <v>345545.94878182001</v>
      </c>
      <c r="O10" s="29">
        <f t="shared" ref="O10:Q10" si="2">O8+O9</f>
        <v>334656.50509599992</v>
      </c>
      <c r="P10" s="29">
        <f t="shared" si="2"/>
        <v>388727.18533618352</v>
      </c>
      <c r="Q10" s="29">
        <f t="shared" si="2"/>
        <v>1426929.6392140035</v>
      </c>
      <c r="R10" s="29">
        <f t="shared" ref="R10:S10" si="3">R8+R9</f>
        <v>395400.62587149139</v>
      </c>
      <c r="S10" s="29">
        <f t="shared" si="3"/>
        <v>345131.28914717445</v>
      </c>
      <c r="T10" s="29">
        <f t="shared" ref="T10:U10" si="4">T8+T9</f>
        <v>373061.9668626308</v>
      </c>
      <c r="U10" s="29">
        <f t="shared" si="4"/>
        <v>398609.27160937409</v>
      </c>
      <c r="V10" s="29">
        <f t="shared" ref="V10:W10" si="5">V8+V9</f>
        <v>1512203.15349067</v>
      </c>
      <c r="W10" s="29">
        <f t="shared" si="5"/>
        <v>364674.92956625344</v>
      </c>
      <c r="X10" s="29">
        <f t="shared" ref="X10:Y10" si="6">X8+X9</f>
        <v>329264.97357815993</v>
      </c>
      <c r="Y10" s="29">
        <f t="shared" si="6"/>
        <v>370265.99588592933</v>
      </c>
      <c r="Z10" s="29">
        <f>Z8+Z9</f>
        <v>385261.93566633109</v>
      </c>
      <c r="AA10" s="29">
        <f t="shared" ref="AA10" si="7">AA8+AA9</f>
        <v>1449467.8346966757</v>
      </c>
      <c r="AB10" s="28">
        <f t="shared" ref="AB10:AB20" si="8">Z10-U10</f>
        <v>-13347.335943042999</v>
      </c>
      <c r="AC10" s="32">
        <f t="shared" ref="AC10:AC20" si="9">AB10/U10</f>
        <v>-3.3484760374874106E-2</v>
      </c>
      <c r="AD10" s="28">
        <f t="shared" ref="AD10:AD20" si="10">(AA10)-(V10)</f>
        <v>-62735.318793994375</v>
      </c>
      <c r="AE10" s="32">
        <f t="shared" ref="AE10:AE20" si="11">AD10/(V10)</f>
        <v>-4.1486038862688722E-2</v>
      </c>
      <c r="AF10" s="28"/>
      <c r="AG10" s="232"/>
      <c r="AI10" s="28"/>
    </row>
    <row r="11" spans="1:35" x14ac:dyDescent="0.2">
      <c r="B11" s="22" t="s">
        <v>41</v>
      </c>
      <c r="C11" s="28">
        <f>-67400*('2025 IR Data Book'!$A$5)</f>
        <v>-67400</v>
      </c>
      <c r="D11" s="28">
        <f>-77114*('2025 IR Data Book'!$A$5)</f>
        <v>-77114</v>
      </c>
      <c r="E11" s="28">
        <f>-62964*('2025 IR Data Book'!$A$5)</f>
        <v>-62964</v>
      </c>
      <c r="F11" s="28">
        <f t="shared" ref="F11:F14" si="12">G11-C11-D11-E11</f>
        <v>-65030</v>
      </c>
      <c r="G11" s="28">
        <f>(-272508)*('2025 IR Data Book'!$A$5)</f>
        <v>-272508</v>
      </c>
      <c r="H11" s="28">
        <f>-58785.3492673848*('2025 IR Data Book'!$A$5)</f>
        <v>-58785.349267384801</v>
      </c>
      <c r="I11" s="28">
        <f>-65139.864353484*('2025 IR Data Book'!$A$5)</f>
        <v>-65139.864353484001</v>
      </c>
      <c r="J11" s="28">
        <f>-62179.9677381306*('2025 IR Data Book'!$A$5)</f>
        <v>-62179.967738130603</v>
      </c>
      <c r="K11" s="28">
        <f>L11-H11-I11-J11</f>
        <v>-71531.818641000602</v>
      </c>
      <c r="L11" s="28">
        <f>-257637*('2025 IR Data Book'!$A$5)</f>
        <v>-257637</v>
      </c>
      <c r="M11" s="28">
        <f>-71390*('2025 IR Data Book'!$A$5)</f>
        <v>-71390</v>
      </c>
      <c r="N11" s="28">
        <f>-79755.3704061832*((('2025 IR Data Book'!$A$5)))</f>
        <v>-79755.370406183196</v>
      </c>
      <c r="O11" s="28">
        <f>-76695.9071356232*((('2025 IR Data Book'!$A$5)))</f>
        <v>-76695.907135623202</v>
      </c>
      <c r="P11" s="28">
        <f>(Q11-M11-N11-O11)</f>
        <v>-80611.422452805171</v>
      </c>
      <c r="Q11" s="28">
        <f>'[7]IS package Dec YTD''23 Exc Info'!$C$15*('2025 IR Data Book'!$A$5)</f>
        <v>-308452.69999461155</v>
      </c>
      <c r="R11" s="28">
        <f>'[8]IS package 1st Qrt''24 Exc Info'!$C$15*('2025 IR Data Book'!$A$5)</f>
        <v>-81060.546702155159</v>
      </c>
      <c r="S11" s="28">
        <f>'[9]IS package 2nd Qrt''24 Exc Info'!$C$15*('2025 IR Data Book'!$A$5)</f>
        <v>-83428.226084624766</v>
      </c>
      <c r="T11" s="28">
        <f>'[10]IS package 3rd Qrt''24 Exc Info'!$C$15*('2025 IR Data Book'!$A$5)</f>
        <v>-89144.907333719413</v>
      </c>
      <c r="U11" s="28">
        <f t="shared" ref="U11:U15" si="13">(V11-R11-S11-T11)</f>
        <v>-86435.840576996226</v>
      </c>
      <c r="V11" s="28">
        <f>'[11]IS package Dec YTD''24 Exc Info'!$C$15*('2025 IR Data Book'!$A$5)</f>
        <v>-340069.52069749555</v>
      </c>
      <c r="W11" s="28">
        <f>'[12]IS package 1st Qtr''25 Exc Info'!$C$15*('2025 IR Data Book'!$A$5)</f>
        <v>-87683.853324673924</v>
      </c>
      <c r="X11" s="28">
        <f>'[13]IS package 2nd Qrt''25 Exc Info'!$C$15*('2025 IR Data Book'!$A$5)</f>
        <v>-83847.052783568375</v>
      </c>
      <c r="Y11" s="28">
        <f>'[14]IS package 3rd Qrt''25 Exc Info'!$C$15*('2025 IR Data Book'!$A$5)</f>
        <v>-86132.78621433278</v>
      </c>
      <c r="Z11" s="28">
        <f>'[15]IS package 4th Qrt''25 Exc Info'!$C$15*('2025 IR Data Book'!$A$5)</f>
        <v>-90118.980866873666</v>
      </c>
      <c r="AA11" s="28">
        <f>'[15]IS package Dec YTD''25 Exc Info'!$C$15*('2025 IR Data Book'!$A$5)</f>
        <v>-347782.67318944866</v>
      </c>
      <c r="AB11" s="28">
        <f t="shared" si="8"/>
        <v>-3683.1402898774395</v>
      </c>
      <c r="AC11" s="32">
        <f t="shared" si="9"/>
        <v>4.2611262472730081E-2</v>
      </c>
      <c r="AD11" s="28">
        <f t="shared" si="10"/>
        <v>-7713.1524919531075</v>
      </c>
      <c r="AE11" s="32">
        <f t="shared" si="11"/>
        <v>2.2681104957989584E-2</v>
      </c>
    </row>
    <row r="12" spans="1:35" x14ac:dyDescent="0.2">
      <c r="B12" s="24" t="s">
        <v>42</v>
      </c>
      <c r="C12" s="28">
        <f>-3646*('2025 IR Data Book'!$A$5)</f>
        <v>-3646</v>
      </c>
      <c r="D12" s="28">
        <f>-5016*('2025 IR Data Book'!$A$5)</f>
        <v>-5016</v>
      </c>
      <c r="E12" s="28">
        <f>-6363*('2025 IR Data Book'!$A$5)</f>
        <v>-6363</v>
      </c>
      <c r="F12" s="28">
        <f t="shared" si="12"/>
        <v>-1522</v>
      </c>
      <c r="G12" s="28">
        <f>(-15635-912)*('2025 IR Data Book'!$A$5)</f>
        <v>-16547</v>
      </c>
      <c r="H12" s="28">
        <f>-4547.01664062866*('2025 IR Data Book'!$A$5)</f>
        <v>-4547.0166406286598</v>
      </c>
      <c r="I12" s="28">
        <f>-4758.01804787734*('2025 IR Data Book'!$A$5)</f>
        <v>-4758.01804787734</v>
      </c>
      <c r="J12" s="28">
        <f>-4518.9367594406*('2025 IR Data Book'!$A$5)</f>
        <v>-4518.9367594406003</v>
      </c>
      <c r="K12" s="28">
        <f>L12-H12-I12-J12</f>
        <v>-2274.0285520534007</v>
      </c>
      <c r="L12" s="28">
        <f>-16098*(('2025 IR Data Book'!$A$5))</f>
        <v>-16098</v>
      </c>
      <c r="M12" s="28">
        <f>-12899*('2025 IR Data Book'!$A$5)</f>
        <v>-12899</v>
      </c>
      <c r="N12" s="28">
        <f>-611.305297781729*((('2025 IR Data Book'!$A$5)))</f>
        <v>-611.305297781729</v>
      </c>
      <c r="O12" s="28">
        <f>-2404.71521328254*((('2025 IR Data Book'!$A$5)))</f>
        <v>-2404.7152132825399</v>
      </c>
      <c r="P12" s="28">
        <f>(Q12-M12-N12-O12)</f>
        <v>-4124.1915003315717</v>
      </c>
      <c r="Q12" s="28">
        <f>('[7]IS package Dec YTD''23 Exc Info'!$C$16+'[7]IS package Dec YTD''23 Exc Info'!$C$17)*(('2025 IR Data Book'!$A$5))</f>
        <v>-20039.212011395841</v>
      </c>
      <c r="R12" s="28">
        <f>('[8]IS package 1st Qrt''24 Exc Info'!$C$16+'[8]IS package 1st Qrt''24 Exc Info'!$C$17)*(('2025 IR Data Book'!$A$5))</f>
        <v>-6240.2219101830669</v>
      </c>
      <c r="S12" s="28">
        <f>('[9]IS package 2nd Qrt''24 Exc Info'!$C$16+'[9]IS package 2nd Qrt''24 Exc Info'!$C$17)*(('2025 IR Data Book'!$A$5))</f>
        <v>-4408.6966171375852</v>
      </c>
      <c r="T12" s="28">
        <f>('[10]IS package 3rd Qrt''24 Exc Info'!$C$16+'[10]IS package 3rd Qrt''24 Exc Info'!$C$17)*(('2025 IR Data Book'!$A$5))</f>
        <v>-1824.3306823662369</v>
      </c>
      <c r="U12" s="28">
        <f t="shared" si="13"/>
        <v>19221.865910097746</v>
      </c>
      <c r="V12" s="28">
        <f>('[11]IS package Dec YTD''24 Exc Info'!$C$16+'[11]IS package Dec YTD''24 Exc Info'!$C$17)*(('2025 IR Data Book'!$A$5))</f>
        <v>6748.6167004108584</v>
      </c>
      <c r="W12" s="28">
        <f>('[12]IS package 1st Qtr''25 Exc Info'!$C$16+'[12]IS package 1st Qtr''25 Exc Info'!$C$17)*(('2025 IR Data Book'!$A$5))</f>
        <v>-3873.3543327782586</v>
      </c>
      <c r="X12" s="28">
        <f>('[13]IS package 2nd Qrt''25 Exc Info'!$C$16+'[13]IS package 2nd Qrt''25 Exc Info'!$C$17)*(('2025 IR Data Book'!$A$5))</f>
        <v>-5715.2659392413661</v>
      </c>
      <c r="Y12" s="28">
        <f>('[14]IS package 3rd Qrt''25 Exc Info'!$C$16+'[14]IS package 3rd Qrt''25 Exc Info'!$C$17)*(('2025 IR Data Book'!$A$5))</f>
        <v>-1309.7812985974535</v>
      </c>
      <c r="Z12" s="28">
        <f>('[15]IS package 4th Qrt''25 Exc Info'!$C$16+'[15]IS package 4th Qrt''25 Exc Info'!$C$17)*(('2025 IR Data Book'!$A$5))</f>
        <v>-7475.094774785397</v>
      </c>
      <c r="AA12" s="28">
        <f>('[15]IS package Dec YTD''25 Exc Info'!$C$16+'[15]IS package Dec YTD''25 Exc Info'!$C$17)*(('2025 IR Data Book'!$A$5))</f>
        <v>-18373.496337687429</v>
      </c>
      <c r="AB12" s="28">
        <f t="shared" si="8"/>
        <v>-26696.960684883143</v>
      </c>
      <c r="AC12" s="32">
        <f t="shared" si="9"/>
        <v>-1.3888849714042868</v>
      </c>
      <c r="AD12" s="28">
        <f t="shared" si="10"/>
        <v>-25122.113038098287</v>
      </c>
      <c r="AE12" s="32">
        <f t="shared" si="11"/>
        <v>-3.7225574000326382</v>
      </c>
      <c r="AF12" s="28"/>
      <c r="AG12" s="232"/>
      <c r="AI12" s="28"/>
    </row>
    <row r="13" spans="1:35" x14ac:dyDescent="0.2">
      <c r="B13" s="24" t="s">
        <v>43</v>
      </c>
      <c r="C13" s="28">
        <f>-216289*('2025 IR Data Book'!$A$5)</f>
        <v>-216289</v>
      </c>
      <c r="D13" s="28">
        <f>-213497*('2025 IR Data Book'!$A$5)</f>
        <v>-213497</v>
      </c>
      <c r="E13" s="28">
        <f>-220767*('2025 IR Data Book'!$A$5)</f>
        <v>-220767</v>
      </c>
      <c r="F13" s="28">
        <f t="shared" si="12"/>
        <v>-237101</v>
      </c>
      <c r="G13" s="28">
        <f>-887654*('2025 IR Data Book'!$A$5)</f>
        <v>-887654</v>
      </c>
      <c r="H13" s="28">
        <f>-214112.877240882*('2025 IR Data Book'!$A$5)</f>
        <v>-214112.87724088199</v>
      </c>
      <c r="I13" s="28">
        <f>-234187.438032882*('2025 IR Data Book'!$A$5)</f>
        <v>-234187.438032882</v>
      </c>
      <c r="J13" s="28">
        <f>-213023.336177279*('2025 IR Data Book'!$A$5)</f>
        <v>-213023.33617727901</v>
      </c>
      <c r="K13" s="28">
        <f>L13-H13-I13-J13</f>
        <v>-246324.35180239292</v>
      </c>
      <c r="L13" s="28">
        <f>-907648.003253436*(('2025 IR Data Book'!$A$5))</f>
        <v>-907648.00325343595</v>
      </c>
      <c r="M13" s="28">
        <f>-209421*('2025 IR Data Book'!$A$5)</f>
        <v>-209421</v>
      </c>
      <c r="N13" s="28">
        <f>-213482.289965244*((('2025 IR Data Book'!$A$5)))</f>
        <v>-213482.28996524401</v>
      </c>
      <c r="O13" s="28">
        <f>-209415.097211414*((('2025 IR Data Book'!$A$5)))</f>
        <v>-209415.09721141399</v>
      </c>
      <c r="P13" s="28">
        <f>(Q13-M13-N13-O13)</f>
        <v>-212809.34429296749</v>
      </c>
      <c r="Q13" s="28">
        <f>'[7]IS package Dec YTD''23 Exc Info'!$C$18*(('2025 IR Data Book'!$A$5))</f>
        <v>-845127.73146962549</v>
      </c>
      <c r="R13" s="28">
        <f>'[8]IS package 1st Qrt''24 Exc Info'!$C$18*(('2025 IR Data Book'!$A$5))</f>
        <v>-218744.26121254172</v>
      </c>
      <c r="S13" s="28">
        <f>'[9]IS package 2nd Qrt''24 Exc Info'!$C$18*(('2025 IR Data Book'!$A$5))</f>
        <v>-216953.99865474366</v>
      </c>
      <c r="T13" s="28">
        <f>'[10]IS package 3rd Qrt''24 Exc Info'!$C$18*(('2025 IR Data Book'!$A$5))</f>
        <v>-221489.69659303641</v>
      </c>
      <c r="U13" s="28">
        <f t="shared" si="13"/>
        <v>-235812.67680647899</v>
      </c>
      <c r="V13" s="28">
        <f>'[11]IS package Dec YTD''24 Exc Info'!$C$18*(('2025 IR Data Book'!$A$5))</f>
        <v>-893000.63326680078</v>
      </c>
      <c r="W13" s="28">
        <f>'[12]IS package 1st Qtr''25 Exc Info'!$C$18*(('2025 IR Data Book'!$A$5))</f>
        <v>-217990.78395408636</v>
      </c>
      <c r="X13" s="28">
        <f>'[13]IS package 2nd Qrt''25 Exc Info'!$C$18*(('2025 IR Data Book'!$A$5))</f>
        <v>-225156.08666407975</v>
      </c>
      <c r="Y13" s="28">
        <f>'[14]IS package 3rd Qrt''25 Exc Info'!$C$18*(('2025 IR Data Book'!$A$5))</f>
        <v>-225144.66418158385</v>
      </c>
      <c r="Z13" s="28">
        <f>'[15]IS package 4th Qrt''25 Exc Info'!$C$18*(('2025 IR Data Book'!$A$5))</f>
        <v>-237091.34366044871</v>
      </c>
      <c r="AA13" s="28">
        <f>'[15]IS package Dec YTD''25 Exc Info'!$C$18*(('2025 IR Data Book'!$A$5))</f>
        <v>-905382.87846791383</v>
      </c>
      <c r="AB13" s="28">
        <f t="shared" si="8"/>
        <v>-1278.666853969713</v>
      </c>
      <c r="AC13" s="32">
        <f t="shared" si="9"/>
        <v>5.4223838653892987E-3</v>
      </c>
      <c r="AD13" s="28">
        <f t="shared" si="10"/>
        <v>-12382.245201113052</v>
      </c>
      <c r="AE13" s="32">
        <f t="shared" si="11"/>
        <v>1.3865886248944711E-2</v>
      </c>
      <c r="AF13" s="28"/>
      <c r="AG13" s="232"/>
      <c r="AI13" s="28"/>
    </row>
    <row r="14" spans="1:35" hidden="1" x14ac:dyDescent="0.2">
      <c r="B14" s="20" t="s">
        <v>44</v>
      </c>
      <c r="C14" s="28">
        <f>0*('2025 IR Data Book'!$A$5)</f>
        <v>0</v>
      </c>
      <c r="D14" s="28">
        <f>0*('2025 IR Data Book'!$A$5)</f>
        <v>0</v>
      </c>
      <c r="E14" s="28">
        <f>6611*('2025 IR Data Book'!$A$5)</f>
        <v>6611</v>
      </c>
      <c r="F14" s="28">
        <f t="shared" si="12"/>
        <v>27056</v>
      </c>
      <c r="G14" s="28">
        <f>33667*('2025 IR Data Book'!$A$5)</f>
        <v>33667</v>
      </c>
      <c r="H14" s="28">
        <f>0*('2025 IR Data Book'!$A$5)</f>
        <v>0</v>
      </c>
      <c r="I14" s="28">
        <f>0*('2025 IR Data Book'!$A$5)</f>
        <v>0</v>
      </c>
      <c r="J14" s="28">
        <v>0</v>
      </c>
      <c r="K14" s="28">
        <f>L14-H14-I14-J14</f>
        <v>1291</v>
      </c>
      <c r="L14" s="28">
        <f>1291*(('2025 IR Data Book'!$A$5))</f>
        <v>1291</v>
      </c>
      <c r="M14" s="28">
        <v>0</v>
      </c>
      <c r="N14" s="28">
        <f>0*((('2025 IR Data Book'!$A$5)))</f>
        <v>0</v>
      </c>
      <c r="O14" s="28">
        <f>0*((('2025 IR Data Book'!$A$5)))</f>
        <v>0</v>
      </c>
      <c r="P14" s="28">
        <f>(Q14-M14-N14-O14)</f>
        <v>0</v>
      </c>
      <c r="Q14" s="28">
        <f>'[7]IS package Dec YTD''23 Exc Info'!$C$19*(('2025 IR Data Book'!$A$5))</f>
        <v>0</v>
      </c>
      <c r="R14" s="28">
        <f>'[8]IS package 1st Qrt''24 Exc Info'!$C$19*(('2025 IR Data Book'!$A$5))</f>
        <v>0</v>
      </c>
      <c r="S14" s="28">
        <f>'[9]IS package 2nd Qrt''24 Exc Info'!$C$19*(('2025 IR Data Book'!$A$5))</f>
        <v>0</v>
      </c>
      <c r="T14" s="28">
        <f>'[10]IS package 3rd Qrt''24 Exc Info'!$C$19*(('2025 IR Data Book'!$A$5))</f>
        <v>0</v>
      </c>
      <c r="U14" s="28">
        <f t="shared" si="13"/>
        <v>0</v>
      </c>
      <c r="V14" s="28">
        <f>'[11]IS package Dec YTD''24 Exc Info'!$C$19*(('2025 IR Data Book'!$A$5))</f>
        <v>0</v>
      </c>
      <c r="W14" s="28">
        <f>'[12]IS package 1st Qtr''25 Exc Info'!$C$19*(('2025 IR Data Book'!$A$5))</f>
        <v>0</v>
      </c>
      <c r="X14" s="28">
        <f>'[13]IS package 2nd Qrt''25 Exc Info'!$C$19*(('2025 IR Data Book'!$A$5))</f>
        <v>0</v>
      </c>
      <c r="Y14" s="28">
        <f>'[14]IS package 3rd Qrt''25 Exc Info'!$C$19*(('2025 IR Data Book'!$A$5))</f>
        <v>0</v>
      </c>
      <c r="Z14" s="28">
        <f>'[15]IS package 4th Qrt''25 Exc Info'!$C$19*(('2025 IR Data Book'!$A$5))</f>
        <v>0</v>
      </c>
      <c r="AA14" s="28">
        <f>'[15]IS package Dec YTD''25 Exc Info'!$C$19*(('2025 IR Data Book'!$A$5))</f>
        <v>0</v>
      </c>
      <c r="AB14" s="274" t="s">
        <v>244</v>
      </c>
      <c r="AC14" s="257" t="s">
        <v>244</v>
      </c>
      <c r="AD14" s="274" t="s">
        <v>244</v>
      </c>
      <c r="AE14" s="257" t="s">
        <v>244</v>
      </c>
      <c r="AG14" s="255"/>
      <c r="AI14" s="28"/>
    </row>
    <row r="15" spans="1:35" x14ac:dyDescent="0.2">
      <c r="B15" s="24" t="s">
        <v>45</v>
      </c>
      <c r="C15" s="28">
        <f>8143*('2025 IR Data Book'!$A$5)</f>
        <v>8143</v>
      </c>
      <c r="D15" s="28">
        <f>6514*('2025 IR Data Book'!$A$5)</f>
        <v>6514</v>
      </c>
      <c r="E15" s="28">
        <f>(-4579)*('2025 IR Data Book'!$A$5)</f>
        <v>-4579</v>
      </c>
      <c r="F15" s="28">
        <f>G15-C15-D15-E15</f>
        <v>7771</v>
      </c>
      <c r="G15" s="28">
        <f>(17849)*('2025 IR Data Book'!$A$5)</f>
        <v>17849</v>
      </c>
      <c r="H15" s="28">
        <f>8351.413296422*('2025 IR Data Book'!$A$5)</f>
        <v>8351.4132964220007</v>
      </c>
      <c r="I15" s="35">
        <f>-10969.3359538721*('2025 IR Data Book'!$A$5)</f>
        <v>-10969.3359538721</v>
      </c>
      <c r="J15" s="35">
        <f>9802.38519477437*('2025 IR Data Book'!$A$5)</f>
        <v>9802.3851947743697</v>
      </c>
      <c r="K15" s="35">
        <f>L15-H15-I15-J15</f>
        <v>-6066.4625373242707</v>
      </c>
      <c r="L15" s="35">
        <f>1118*(('2025 IR Data Book'!$A$5))</f>
        <v>1118</v>
      </c>
      <c r="M15" s="35">
        <f>-1290*('2025 IR Data Book'!$A$5)</f>
        <v>-1290</v>
      </c>
      <c r="N15" s="35">
        <f>1064.56588729404*((('2025 IR Data Book'!$A$5)))</f>
        <v>1064.5658872940401</v>
      </c>
      <c r="O15" s="35">
        <f>-1432.24729710274*((('2025 IR Data Book'!$A$5)))</f>
        <v>-1432.24729710274</v>
      </c>
      <c r="P15" s="35">
        <f>(Q15-M15-N15-O15)</f>
        <v>15008.279612344813</v>
      </c>
      <c r="Q15" s="35">
        <f>'[7]IS package Dec YTD''23 Exc Info'!$C$20*(('2025 IR Data Book'!$A$5))</f>
        <v>13350.598202536114</v>
      </c>
      <c r="R15" s="35">
        <f>'[8]IS package 1st Qrt''24 Exc Info'!$C$20*(('2025 IR Data Book'!$A$5))</f>
        <v>3051.2437238215953</v>
      </c>
      <c r="S15" s="35">
        <f>'[9]IS package 2nd Qrt''24 Exc Info'!$C$20*(('2025 IR Data Book'!$A$5))</f>
        <v>6621.4547618493361</v>
      </c>
      <c r="T15" s="35">
        <f>'[10]IS package 3rd Qrt''24 Exc Info'!$C$20*(('2025 IR Data Book'!$A$5))</f>
        <v>7518.3287791840621</v>
      </c>
      <c r="U15" s="35">
        <f t="shared" si="13"/>
        <v>-6396.9318263185241</v>
      </c>
      <c r="V15" s="35">
        <f>'[11]IS package Dec YTD''24 Exc Info'!$C$20*(('2025 IR Data Book'!$A$5))</f>
        <v>10794.095438536469</v>
      </c>
      <c r="W15" s="35">
        <f>'[12]IS package 1st Qtr''25 Exc Info'!$C$20*(('2025 IR Data Book'!$A$5))</f>
        <v>5777.0154083937578</v>
      </c>
      <c r="X15" s="35">
        <f>'[13]IS package 2nd Qrt''25 Exc Info'!$C$20*(('2025 IR Data Book'!$A$5))</f>
        <v>1583.169200909922</v>
      </c>
      <c r="Y15" s="35">
        <f>'[14]IS package 3rd Qrt''25 Exc Info'!$C$20*(('2025 IR Data Book'!$A$5))</f>
        <v>6445.1992602211849</v>
      </c>
      <c r="Z15" s="35">
        <f>'[15]IS package 4th Qrt''25 Exc Info'!$C$20*(('2025 IR Data Book'!$A$5))</f>
        <v>976.71577496956843</v>
      </c>
      <c r="AA15" s="35">
        <f>'[15]IS package Dec YTD''25 Exc Info'!$C$20*(('2025 IR Data Book'!$A$5))</f>
        <v>14782.099653370962</v>
      </c>
      <c r="AB15" s="35">
        <f t="shared" si="8"/>
        <v>7373.6476012880921</v>
      </c>
      <c r="AC15" s="36">
        <f t="shared" si="9"/>
        <v>-1.1526850373723108</v>
      </c>
      <c r="AD15" s="35">
        <f t="shared" si="10"/>
        <v>3988.0042148344928</v>
      </c>
      <c r="AE15" s="36">
        <f t="shared" si="11"/>
        <v>0.36946164109284652</v>
      </c>
      <c r="AF15" s="28"/>
      <c r="AG15" s="232"/>
      <c r="AI15" s="28"/>
    </row>
    <row r="16" spans="1:35" x14ac:dyDescent="0.2">
      <c r="B16" s="25" t="s">
        <v>46</v>
      </c>
      <c r="C16" s="29">
        <f t="shared" ref="C16:I16" si="14">SUM(C10:C15)</f>
        <v>79455</v>
      </c>
      <c r="D16" s="29">
        <f t="shared" si="14"/>
        <v>99552</v>
      </c>
      <c r="E16" s="29">
        <f t="shared" si="14"/>
        <v>68018</v>
      </c>
      <c r="F16" s="29">
        <f t="shared" si="14"/>
        <v>58649</v>
      </c>
      <c r="G16" s="29">
        <f t="shared" si="14"/>
        <v>305674</v>
      </c>
      <c r="H16" s="29">
        <f t="shared" si="14"/>
        <v>75006.391175596727</v>
      </c>
      <c r="I16" s="34">
        <f t="shared" si="14"/>
        <v>63568.123313084623</v>
      </c>
      <c r="J16" s="34">
        <f t="shared" ref="J16:K16" si="15">SUM(J10:J15)</f>
        <v>50907.23696885418</v>
      </c>
      <c r="K16" s="34">
        <f t="shared" si="15"/>
        <v>55848.245289028986</v>
      </c>
      <c r="L16" s="34">
        <f t="shared" ref="L16:N16" si="16">SUM(L10:L15)</f>
        <v>245329.99674656405</v>
      </c>
      <c r="M16" s="34">
        <f t="shared" si="16"/>
        <v>63000</v>
      </c>
      <c r="N16" s="34">
        <f t="shared" si="16"/>
        <v>52761.54899990515</v>
      </c>
      <c r="O16" s="34">
        <f t="shared" ref="O16:Q16" si="17">SUM(O10:O15)</f>
        <v>44708.53823857745</v>
      </c>
      <c r="P16" s="34">
        <f t="shared" si="17"/>
        <v>106190.50670242411</v>
      </c>
      <c r="Q16" s="34">
        <f t="shared" si="17"/>
        <v>266660.59394090658</v>
      </c>
      <c r="R16" s="34">
        <f>SUM(R10:R15)</f>
        <v>92406.839770433027</v>
      </c>
      <c r="S16" s="34">
        <f t="shared" ref="S16" si="18">SUM(S10:S15)</f>
        <v>46961.822552517784</v>
      </c>
      <c r="T16" s="34">
        <f t="shared" ref="T16:U16" si="19">SUM(T10:T15)</f>
        <v>68121.361032692803</v>
      </c>
      <c r="U16" s="34">
        <f t="shared" si="19"/>
        <v>89185.68830967808</v>
      </c>
      <c r="V16" s="34">
        <f t="shared" ref="V16:W16" si="20">SUM(V10:V15)</f>
        <v>296675.71166532114</v>
      </c>
      <c r="W16" s="34">
        <f t="shared" si="20"/>
        <v>60903.953363108631</v>
      </c>
      <c r="X16" s="34">
        <f t="shared" ref="X16:Y16" si="21">SUM(X10:X15)</f>
        <v>16129.737392180354</v>
      </c>
      <c r="Y16" s="34">
        <f t="shared" si="21"/>
        <v>64123.963451636402</v>
      </c>
      <c r="Z16" s="34">
        <f t="shared" ref="Z16:AA16" si="22">SUM(Z10:Z15)</f>
        <v>51553.232139192922</v>
      </c>
      <c r="AA16" s="34">
        <f t="shared" si="22"/>
        <v>192710.88635499676</v>
      </c>
      <c r="AB16" s="28">
        <f t="shared" si="8"/>
        <v>-37632.456170485159</v>
      </c>
      <c r="AC16" s="32">
        <f t="shared" si="9"/>
        <v>-0.42195622283941531</v>
      </c>
      <c r="AD16" s="28">
        <f t="shared" si="10"/>
        <v>-103964.82531032438</v>
      </c>
      <c r="AE16" s="32">
        <f t="shared" si="11"/>
        <v>-0.35043254712946215</v>
      </c>
      <c r="AF16" s="28"/>
    </row>
    <row r="17" spans="2:32" x14ac:dyDescent="0.2">
      <c r="B17" s="24" t="s">
        <v>332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>
        <f>'[12]IS package 1st Qtr''25 Exc Info'!$C$22*(('2025 IR Data Book'!$A$5))</f>
        <v>-8157.5064759720008</v>
      </c>
      <c r="X17" s="28">
        <f>'[13]IS package 2nd Qrt''25 Exc Info'!$C$22*(('2025 IR Data Book'!$A$5))</f>
        <v>-133.98012060000002</v>
      </c>
      <c r="Y17" s="28">
        <f>'[14]IS package 3rd Qrt''25 Exc Info'!$C$22*(('2025 IR Data Book'!$A$5))</f>
        <v>-11337.316200000001</v>
      </c>
      <c r="Z17" s="28">
        <f>'[15]IS package 4th Qrt''25 Exc Info'!$C$22*(('2025 IR Data Book'!$A$5))</f>
        <v>-268.48542300000003</v>
      </c>
      <c r="AA17" s="28">
        <f>'[15]IS package Dec YTD''25 Exc Info'!$C$22*(('2025 IR Data Book'!$A$5))</f>
        <v>-19897.288219571998</v>
      </c>
      <c r="AB17" s="28">
        <f t="shared" si="8"/>
        <v>-268.48542300000003</v>
      </c>
      <c r="AC17" s="257" t="s">
        <v>244</v>
      </c>
      <c r="AD17" s="28">
        <f t="shared" si="10"/>
        <v>-19897.288219571998</v>
      </c>
      <c r="AE17" s="257" t="s">
        <v>244</v>
      </c>
    </row>
    <row r="18" spans="2:32" x14ac:dyDescent="0.2">
      <c r="B18" s="22" t="s">
        <v>47</v>
      </c>
      <c r="C18" s="28">
        <f>2247*('2025 IR Data Book'!$A$5)</f>
        <v>2247</v>
      </c>
      <c r="D18" s="28">
        <f>1426*('2025 IR Data Book'!$A$5)</f>
        <v>1426</v>
      </c>
      <c r="E18" s="28">
        <f>1374*('2025 IR Data Book'!$A$5)</f>
        <v>1374</v>
      </c>
      <c r="F18" s="28">
        <f t="shared" ref="F18:F20" si="23">G18-C18-D18-E18</f>
        <v>1359</v>
      </c>
      <c r="G18" s="28">
        <f>6406*('2025 IR Data Book'!$A$5)</f>
        <v>6406</v>
      </c>
      <c r="H18" s="28">
        <f>991.01122253691*('2025 IR Data Book'!$A$5)</f>
        <v>991.01122253691005</v>
      </c>
      <c r="I18" s="28">
        <f>1005.15436493052*('2025 IR Data Book'!$A$5)</f>
        <v>1005.15436493052</v>
      </c>
      <c r="J18" s="28">
        <f>763.151258181049*('2025 IR Data Book'!$A$5)</f>
        <v>763.151258181049</v>
      </c>
      <c r="K18" s="28">
        <f>L18-H18-I18-J18</f>
        <v>2173.6831543515209</v>
      </c>
      <c r="L18" s="28">
        <f>4933*(('2025 IR Data Book'!$A$5))</f>
        <v>4933</v>
      </c>
      <c r="M18" s="28">
        <f>2436*('2025 IR Data Book'!$A$5)</f>
        <v>2436</v>
      </c>
      <c r="N18" s="28">
        <f>1849.42847834543*((('2025 IR Data Book'!$A$5)))</f>
        <v>1849.42847834543</v>
      </c>
      <c r="O18" s="28">
        <f>1372.25532887207*((('2025 IR Data Book'!$A$5)))</f>
        <v>1372.2553288720701</v>
      </c>
      <c r="P18" s="28">
        <f>(Q18-M18-N18-O18)</f>
        <v>2709.5212160267306</v>
      </c>
      <c r="Q18" s="28">
        <f>'[7]IS package Dec YTD''23 Exc Info'!$C$23*(('2025 IR Data Book'!$A$5))</f>
        <v>8367.2050232442307</v>
      </c>
      <c r="R18" s="28">
        <f>'[8]IS package 1st Qrt''24 Exc Info'!$C$23*(('2025 IR Data Book'!$A$5))</f>
        <v>1019.2795049527581</v>
      </c>
      <c r="S18" s="28">
        <f>'[9]IS package 2nd Qrt''24 Exc Info'!$C$23*(('2025 IR Data Book'!$A$5))</f>
        <v>1580.8113013704788</v>
      </c>
      <c r="T18" s="28">
        <f>'[10]IS package 3rd Qrt''24 Exc Info'!$C$23*(('2025 IR Data Book'!$A$5))</f>
        <v>1005.3827413667943</v>
      </c>
      <c r="U18" s="28">
        <f t="shared" ref="U18:U20" si="24">(V18-R18-S18-T18)</f>
        <v>1191.4001291545967</v>
      </c>
      <c r="V18" s="28">
        <f>'[11]IS package Dec YTD''24 Exc Info'!$C$23*(('2025 IR Data Book'!$A$5))</f>
        <v>4796.8736768446279</v>
      </c>
      <c r="W18" s="28">
        <f>'[12]IS package 1st Qtr''25 Exc Info'!$C$23*(('2025 IR Data Book'!$A$5))</f>
        <v>1093.5703974627579</v>
      </c>
      <c r="X18" s="28">
        <f>'[13]IS package 2nd Qrt''25 Exc Info'!$C$23*(('2025 IR Data Book'!$A$5))</f>
        <v>1557.5553312212289</v>
      </c>
      <c r="Y18" s="28">
        <f>'[14]IS package 3rd Qrt''25 Exc Info'!$C$23*(('2025 IR Data Book'!$A$5))</f>
        <v>1436.8303810958248</v>
      </c>
      <c r="Z18" s="28">
        <f>'[15]IS package 4th Qrt''25 Exc Info'!$C$23*(('2025 IR Data Book'!$A$5))</f>
        <v>2509.7266377780097</v>
      </c>
      <c r="AA18" s="28">
        <f>'[15]IS package Dec YTD''25 Exc Info'!$C$23*(('2025 IR Data Book'!$A$5))</f>
        <v>6597.6827475578202</v>
      </c>
      <c r="AB18" s="28">
        <f t="shared" si="8"/>
        <v>1318.326508623413</v>
      </c>
      <c r="AC18" s="32">
        <f t="shared" si="9"/>
        <v>1.1065354756666694</v>
      </c>
      <c r="AD18" s="28">
        <f t="shared" si="10"/>
        <v>1800.8090707131923</v>
      </c>
      <c r="AE18" s="32">
        <f t="shared" si="11"/>
        <v>0.3754130694343738</v>
      </c>
    </row>
    <row r="19" spans="2:32" x14ac:dyDescent="0.2">
      <c r="B19" s="22" t="s">
        <v>48</v>
      </c>
      <c r="C19" s="28">
        <f>-15290*('2025 IR Data Book'!$A$5)</f>
        <v>-15290</v>
      </c>
      <c r="D19" s="28">
        <f>-15364*('2025 IR Data Book'!$A$5)</f>
        <v>-15364</v>
      </c>
      <c r="E19" s="28">
        <f>-15494*('2025 IR Data Book'!$A$5)</f>
        <v>-15494</v>
      </c>
      <c r="F19" s="28">
        <f t="shared" si="23"/>
        <v>-13940</v>
      </c>
      <c r="G19" s="28">
        <f>-60088*('2025 IR Data Book'!$A$5)</f>
        <v>-60088</v>
      </c>
      <c r="H19" s="28">
        <f>-12840.3882239414*('2025 IR Data Book'!$A$5)</f>
        <v>-12840.3882239414</v>
      </c>
      <c r="I19" s="28">
        <f>-15376.8808591112*('2025 IR Data Book'!$A$5)</f>
        <v>-15376.880859111199</v>
      </c>
      <c r="J19" s="28">
        <f>-16307.2683124092*('2025 IR Data Book'!$A$5)</f>
        <v>-16307.2683124092</v>
      </c>
      <c r="K19" s="28">
        <f>L19-H19-I19-J19</f>
        <v>-28248.462604538203</v>
      </c>
      <c r="L19" s="28">
        <f>-72773*(('2025 IR Data Book'!$A$5))</f>
        <v>-72773</v>
      </c>
      <c r="M19" s="28">
        <f>-30466*('2025 IR Data Book'!$A$5)</f>
        <v>-30466</v>
      </c>
      <c r="N19" s="28">
        <f>-32581.7075606479*((('2025 IR Data Book'!$A$5)))</f>
        <v>-32581.707560647901</v>
      </c>
      <c r="O19" s="28">
        <f>-32564.1677909506*((('2025 IR Data Book'!$A$5)))</f>
        <v>-32564.1677909506</v>
      </c>
      <c r="P19" s="28">
        <f>(Q19-M19-N19-O19)</f>
        <v>-32540.11226378068</v>
      </c>
      <c r="Q19" s="28">
        <f>'[7]IS package Dec YTD''23 Exc Info'!$C$24*(('2025 IR Data Book'!$A$5))</f>
        <v>-128151.98761537918</v>
      </c>
      <c r="R19" s="28">
        <f>'[8]IS package 1st Qrt''24 Exc Info'!$C$24*(('2025 IR Data Book'!$A$5))</f>
        <v>-31351.42835082909</v>
      </c>
      <c r="S19" s="28">
        <f>'[9]IS package 2nd Qrt''24 Exc Info'!$C$24*(('2025 IR Data Book'!$A$5))</f>
        <v>-30502.360294526236</v>
      </c>
      <c r="T19" s="28">
        <f>'[10]IS package 3rd Qrt''24 Exc Info'!$C$24*(('2025 IR Data Book'!$A$5))</f>
        <v>-29928.717936135516</v>
      </c>
      <c r="U19" s="28">
        <f t="shared" si="24"/>
        <v>-29232.799190268641</v>
      </c>
      <c r="V19" s="28">
        <f>'[11]IS package Dec YTD''24 Exc Info'!$C$24*(('2025 IR Data Book'!$A$5))</f>
        <v>-121015.30577175948</v>
      </c>
      <c r="W19" s="28">
        <f>'[12]IS package 1st Qtr''25 Exc Info'!$C$24*(('2025 IR Data Book'!$A$5))</f>
        <v>-27628.668207725044</v>
      </c>
      <c r="X19" s="28">
        <f>'[13]IS package 2nd Qrt''25 Exc Info'!$C$24*(('2025 IR Data Book'!$A$5))</f>
        <v>-27827.277977025158</v>
      </c>
      <c r="Y19" s="28">
        <f>'[14]IS package 3rd Qrt''25 Exc Info'!$C$24*(('2025 IR Data Book'!$A$5))</f>
        <v>-33207.44501361061</v>
      </c>
      <c r="Z19" s="28">
        <f>'[15]IS package 4th Qrt''25 Exc Info'!$C$24*(('2025 IR Data Book'!$A$5))</f>
        <v>-29976.578786580059</v>
      </c>
      <c r="AA19" s="28">
        <f>'[15]IS package Dec YTD''25 Exc Info'!$C$24*(('2025 IR Data Book'!$A$5))</f>
        <v>-118639.96998494084</v>
      </c>
      <c r="AB19" s="28">
        <f t="shared" si="8"/>
        <v>-743.77959631141857</v>
      </c>
      <c r="AC19" s="32">
        <f t="shared" si="9"/>
        <v>2.5443324516080442E-2</v>
      </c>
      <c r="AD19" s="28">
        <f t="shared" si="10"/>
        <v>2375.3357868186431</v>
      </c>
      <c r="AE19" s="32">
        <f t="shared" si="11"/>
        <v>-1.9628391397850428E-2</v>
      </c>
    </row>
    <row r="20" spans="2:32" x14ac:dyDescent="0.2">
      <c r="B20" s="26" t="s">
        <v>49</v>
      </c>
      <c r="C20" s="28">
        <f>2685*('2025 IR Data Book'!$A$5)</f>
        <v>2685</v>
      </c>
      <c r="D20" s="28">
        <f>4608*('2025 IR Data Book'!$A$5)</f>
        <v>4608</v>
      </c>
      <c r="E20" s="28">
        <f>1911*('2025 IR Data Book'!$A$5)</f>
        <v>1911</v>
      </c>
      <c r="F20" s="28">
        <f t="shared" si="23"/>
        <v>1028</v>
      </c>
      <c r="G20" s="28">
        <f>10232*('2025 IR Data Book'!$A$5)</f>
        <v>10232</v>
      </c>
      <c r="H20" s="28">
        <f>3555.9604193588*('2025 IR Data Book'!$A$5)</f>
        <v>3555.9604193588002</v>
      </c>
      <c r="I20" s="28">
        <f>4164.24552562748*('2025 IR Data Book'!$A$5)</f>
        <v>4164.2455256274798</v>
      </c>
      <c r="J20" s="28">
        <f>944.488232574719*(('2025 IR Data Book'!$A$5))</f>
        <v>944.48823257471895</v>
      </c>
      <c r="K20" s="28">
        <f>L20-H20-I20-J20</f>
        <v>538.77845820287121</v>
      </c>
      <c r="L20" s="28">
        <f>9203.47263576387*(('2025 IR Data Book'!$A$5))</f>
        <v>9203.4726357638701</v>
      </c>
      <c r="M20" s="28">
        <f>490*(('2025 IR Data Book'!$A$5))</f>
        <v>490</v>
      </c>
      <c r="N20" s="28">
        <f>1966.87130717546*((('2025 IR Data Book'!$A$5)))</f>
        <v>1966.8713071754601</v>
      </c>
      <c r="O20" s="28">
        <f>1830.99104607217*((('2025 IR Data Book'!$A$5)))</f>
        <v>1830.9910460721701</v>
      </c>
      <c r="P20" s="28">
        <f>(Q20-M20-N20-O20)</f>
        <v>1284.2964766556536</v>
      </c>
      <c r="Q20" s="28">
        <f>'[7]IS package Dec YTD''23 Exc Info'!$C$25*(('2025 IR Data Book'!$A$5))</f>
        <v>5572.1588299032837</v>
      </c>
      <c r="R20" s="28">
        <f>'[8]IS package 1st Qrt''24 Exc Info'!$C$25*(('2025 IR Data Book'!$A$5))</f>
        <v>691.53127061743362</v>
      </c>
      <c r="S20" s="28">
        <f>'[9]IS package 2nd Qrt''24 Exc Info'!$C$25*(('2025 IR Data Book'!$A$5))</f>
        <v>220.17170557605871</v>
      </c>
      <c r="T20" s="28">
        <f>'[10]IS package 3rd Qrt''24 Exc Info'!$C$25*(('2025 IR Data Book'!$A$5))</f>
        <v>-767.17392543981703</v>
      </c>
      <c r="U20" s="28">
        <f t="shared" si="24"/>
        <v>2389.9469845310637</v>
      </c>
      <c r="V20" s="28">
        <f>'[11]IS package Dec YTD''24 Exc Info'!$C$25*(('2025 IR Data Book'!$A$5))</f>
        <v>2534.4760352847388</v>
      </c>
      <c r="W20" s="28">
        <f>'[12]IS package 1st Qtr''25 Exc Info'!$C$25*(('2025 IR Data Book'!$A$5))</f>
        <v>146.92237744178507</v>
      </c>
      <c r="X20" s="28">
        <f>'[13]IS package 2nd Qrt''25 Exc Info'!$C$25*(('2025 IR Data Book'!$A$5))</f>
        <v>-1038.5938448810095</v>
      </c>
      <c r="Y20" s="28">
        <f>'[14]IS package 3rd Qrt''25 Exc Info'!$C$25*(('2025 IR Data Book'!$A$5))</f>
        <v>-1614.4805287936219</v>
      </c>
      <c r="Z20" s="28">
        <f>'[15]IS package 4th Qrt''25 Exc Info'!$C$25*(('2025 IR Data Book'!$A$5))</f>
        <v>-2324.6645674470992</v>
      </c>
      <c r="AA20" s="28">
        <f>'[15]IS package Dec YTD''25 Exc Info'!$C$25*(('2025 IR Data Book'!$A$5))</f>
        <v>-4830.8165636799467</v>
      </c>
      <c r="AB20" s="35">
        <f t="shared" si="8"/>
        <v>-4714.6115519781633</v>
      </c>
      <c r="AC20" s="36">
        <f t="shared" si="9"/>
        <v>-1.9726845752200761</v>
      </c>
      <c r="AD20" s="35">
        <f t="shared" si="10"/>
        <v>-7365.2925989646856</v>
      </c>
      <c r="AE20" s="36">
        <f t="shared" si="11"/>
        <v>-2.906041523544026</v>
      </c>
    </row>
    <row r="21" spans="2:32" x14ac:dyDescent="0.2">
      <c r="B21" s="23" t="s">
        <v>50</v>
      </c>
      <c r="C21" s="29">
        <f>SUM(C16:C20)</f>
        <v>69097</v>
      </c>
      <c r="D21" s="29">
        <f t="shared" ref="D21:I21" si="25">SUM(D16:D20)</f>
        <v>90222</v>
      </c>
      <c r="E21" s="29">
        <f t="shared" si="25"/>
        <v>55809</v>
      </c>
      <c r="F21" s="29">
        <f t="shared" si="25"/>
        <v>47096</v>
      </c>
      <c r="G21" s="29">
        <f t="shared" si="25"/>
        <v>262224</v>
      </c>
      <c r="H21" s="29">
        <f t="shared" si="25"/>
        <v>66712.974593551029</v>
      </c>
      <c r="I21" s="29">
        <f t="shared" si="25"/>
        <v>53360.642344531421</v>
      </c>
      <c r="J21" s="29">
        <f t="shared" ref="J21:K21" si="26">SUM(J16:J20)</f>
        <v>36307.608147200743</v>
      </c>
      <c r="K21" s="29">
        <f t="shared" si="26"/>
        <v>30312.244297045178</v>
      </c>
      <c r="L21" s="29">
        <f t="shared" ref="L21:N21" si="27">SUM(L16:L20)</f>
        <v>186693.46938232792</v>
      </c>
      <c r="M21" s="29">
        <f t="shared" si="27"/>
        <v>35460</v>
      </c>
      <c r="N21" s="29">
        <f t="shared" si="27"/>
        <v>23996.141224778137</v>
      </c>
      <c r="O21" s="29">
        <f t="shared" ref="O21:Q21" si="28">SUM(O16:O20)</f>
        <v>15347.616822571094</v>
      </c>
      <c r="P21" s="29">
        <f t="shared" si="28"/>
        <v>77644.21213132581</v>
      </c>
      <c r="Q21" s="29">
        <f t="shared" si="28"/>
        <v>152447.97017867494</v>
      </c>
      <c r="R21" s="29">
        <f t="shared" ref="R21:S21" si="29">SUM(R16:R20)</f>
        <v>62766.222195174138</v>
      </c>
      <c r="S21" s="29">
        <f t="shared" si="29"/>
        <v>18260.445264938087</v>
      </c>
      <c r="T21" s="29">
        <f t="shared" ref="T21:U21" si="30">SUM(T16:T20)</f>
        <v>38430.851912484257</v>
      </c>
      <c r="U21" s="29">
        <f t="shared" si="30"/>
        <v>63534.236233095107</v>
      </c>
      <c r="V21" s="29">
        <f t="shared" ref="V21:W21" si="31">SUM(V16:V20)</f>
        <v>182991.75560569105</v>
      </c>
      <c r="W21" s="29">
        <f t="shared" si="31"/>
        <v>26358.271454316127</v>
      </c>
      <c r="X21" s="29">
        <f t="shared" ref="X21:Y21" si="32">SUM(X16:X20)</f>
        <v>-11312.559219104585</v>
      </c>
      <c r="Y21" s="29">
        <f t="shared" si="32"/>
        <v>19401.552090327994</v>
      </c>
      <c r="Z21" s="29">
        <f t="shared" ref="Z21:AA21" si="33">SUM(Z16:Z20)</f>
        <v>21493.229999943775</v>
      </c>
      <c r="AA21" s="29">
        <f t="shared" si="33"/>
        <v>55940.494334361814</v>
      </c>
      <c r="AB21" s="37">
        <f t="shared" ref="AB21:AB22" si="34">Z21-U21</f>
        <v>-42041.006233151333</v>
      </c>
      <c r="AC21" s="38">
        <f t="shared" ref="AC21:AC22" si="35">AB21/U21</f>
        <v>-0.66170632915001648</v>
      </c>
      <c r="AD21" s="37">
        <f t="shared" ref="AD21:AD22" si="36">(AA21)-(V21)</f>
        <v>-127051.26127132925</v>
      </c>
      <c r="AE21" s="38">
        <f t="shared" ref="AE21:AE22" si="37">AD21/(V21)</f>
        <v>-0.6943004664379423</v>
      </c>
    </row>
    <row r="22" spans="2:32" x14ac:dyDescent="0.2">
      <c r="B22" s="22" t="s">
        <v>51</v>
      </c>
      <c r="C22" s="28">
        <f>-27647*('2025 IR Data Book'!$A$5)</f>
        <v>-27647</v>
      </c>
      <c r="D22" s="28">
        <f>-29409*('2025 IR Data Book'!$A$5)</f>
        <v>-29409</v>
      </c>
      <c r="E22" s="28">
        <f>-23812*('2025 IR Data Book'!$A$5)</f>
        <v>-23812</v>
      </c>
      <c r="F22" s="28">
        <f t="shared" ref="F22" si="38">G22-C22-D22-E22</f>
        <v>-604</v>
      </c>
      <c r="G22" s="28">
        <f>(-81472)*('2025 IR Data Book'!$A$5)</f>
        <v>-81472</v>
      </c>
      <c r="H22" s="28">
        <f>-19735.8152716225*('2025 IR Data Book'!$A$5)</f>
        <v>-19735.815271622501</v>
      </c>
      <c r="I22" s="28">
        <f>-8349.12519583467*('2025 IR Data Book'!$A$5)</f>
        <v>-8349.1251958346693</v>
      </c>
      <c r="J22" s="28">
        <f>504.491688053108*(('2025 IR Data Book'!$A$5))</f>
        <v>504.49168805310802</v>
      </c>
      <c r="K22" s="28">
        <f>L22-H22-I22-J22</f>
        <v>1906.4487794040626</v>
      </c>
      <c r="L22" s="28">
        <f>-25674*(('2025 IR Data Book'!$A$5))</f>
        <v>-25674</v>
      </c>
      <c r="M22" s="28">
        <f>-10898*(('2025 IR Data Book'!$A$5))</f>
        <v>-10898</v>
      </c>
      <c r="N22" s="28">
        <f>-4976.19455747377*((('2025 IR Data Book'!$A$5)))</f>
        <v>-4976.1945574737701</v>
      </c>
      <c r="O22" s="28">
        <f>-6324.87949189749*((('2025 IR Data Book'!$A$5)))</f>
        <v>-6324.87949189749</v>
      </c>
      <c r="P22" s="28">
        <f>(Q22-M22-N22-O22)</f>
        <v>-514.29861905042162</v>
      </c>
      <c r="Q22" s="28">
        <f>'[7]IS package Dec YTD''23 Exc Info'!$C$27*(('2025 IR Data Book'!$A$5))</f>
        <v>-22713.372668421682</v>
      </c>
      <c r="R22" s="28">
        <f>'[8]IS package 1st Qrt''24 Exc Info'!$C$27*(('2025 IR Data Book'!$A$5))</f>
        <v>-15741.925977850309</v>
      </c>
      <c r="S22" s="28">
        <f>'[9]IS package 2nd Qrt''24 Exc Info'!$C$27*(('2025 IR Data Book'!$A$5))</f>
        <v>-14908.962182461704</v>
      </c>
      <c r="T22" s="28">
        <f>'[10]IS package 3rd Qrt''24 Exc Info'!$C$27*(('2025 IR Data Book'!$A$5))</f>
        <v>-11110.244963243953</v>
      </c>
      <c r="U22" s="28">
        <f>(V22-R22-S22-T22)</f>
        <v>-4044.1450073219985</v>
      </c>
      <c r="V22" s="28">
        <f>'[11]IS package Dec YTD''24 Exc Info'!$C$27*(('2025 IR Data Book'!$A$5))</f>
        <v>-45805.278130877967</v>
      </c>
      <c r="W22" s="28">
        <f>'[12]IS package 1st Qtr''25 Exc Info'!$C$27*(('2025 IR Data Book'!$A$5))</f>
        <v>-8571.6264989597839</v>
      </c>
      <c r="X22" s="28">
        <f>'[13]IS package 2nd Qrt''25 Exc Info'!$C$27*(('2025 IR Data Book'!$A$5))</f>
        <v>1207.7585775778261</v>
      </c>
      <c r="Y22" s="28">
        <f>'[14]IS package 3rd Qrt''25 Exc Info'!$C$27*(('2025 IR Data Book'!$A$5))</f>
        <v>-13657.381153033892</v>
      </c>
      <c r="Z22" s="28">
        <f>'[15]IS package 4th Qrt''25 Exc Info'!$C$27*(('2025 IR Data Book'!$A$5))</f>
        <v>-14051.075848164955</v>
      </c>
      <c r="AA22" s="28">
        <f>'[15]IS package Dec YTD''25 Exc Info'!$C$27*(('2025 IR Data Book'!$A$5))</f>
        <v>-35072.324922580818</v>
      </c>
      <c r="AB22" s="28">
        <f t="shared" si="34"/>
        <v>-10006.930840842957</v>
      </c>
      <c r="AC22" s="32">
        <f t="shared" si="35"/>
        <v>2.4744243400583374</v>
      </c>
      <c r="AD22" s="28">
        <f t="shared" si="36"/>
        <v>10732.953208297149</v>
      </c>
      <c r="AE22" s="32">
        <f t="shared" si="37"/>
        <v>-0.23431695311684872</v>
      </c>
    </row>
    <row r="23" spans="2:32" ht="15" x14ac:dyDescent="0.25">
      <c r="B23" s="23" t="s">
        <v>52</v>
      </c>
      <c r="C23" s="30">
        <f>SUM(C21:C22)</f>
        <v>41450</v>
      </c>
      <c r="D23" s="30">
        <f>SUM(D21:D22)</f>
        <v>60813</v>
      </c>
      <c r="E23" s="30">
        <f t="shared" ref="E23:G23" si="39">SUM(E21:E22)</f>
        <v>31997</v>
      </c>
      <c r="F23" s="30">
        <f t="shared" si="39"/>
        <v>46492</v>
      </c>
      <c r="G23" s="30">
        <f t="shared" si="39"/>
        <v>180752</v>
      </c>
      <c r="H23" s="30">
        <f t="shared" ref="H23:N23" si="40">SUM(H21:H22)</f>
        <v>46977.159321928528</v>
      </c>
      <c r="I23" s="30">
        <f t="shared" si="40"/>
        <v>45011.517148696752</v>
      </c>
      <c r="J23" s="30">
        <f t="shared" si="40"/>
        <v>36812.099835253852</v>
      </c>
      <c r="K23" s="30">
        <f t="shared" si="40"/>
        <v>32218.693076449239</v>
      </c>
      <c r="L23" s="30">
        <f t="shared" si="40"/>
        <v>161019.46938232792</v>
      </c>
      <c r="M23" s="30">
        <f t="shared" si="40"/>
        <v>24562</v>
      </c>
      <c r="N23" s="30">
        <f t="shared" si="40"/>
        <v>19019.946667304368</v>
      </c>
      <c r="O23" s="30">
        <f t="shared" ref="O23:Q23" si="41">SUM(O21:O22)</f>
        <v>9022.7373306736044</v>
      </c>
      <c r="P23" s="30">
        <f t="shared" si="41"/>
        <v>77129.913512275394</v>
      </c>
      <c r="Q23" s="30">
        <f t="shared" si="41"/>
        <v>129734.59751025325</v>
      </c>
      <c r="R23" s="30">
        <f t="shared" ref="R23:S23" si="42">SUM(R21:R22)</f>
        <v>47024.296217323827</v>
      </c>
      <c r="S23" s="30">
        <f t="shared" si="42"/>
        <v>3351.4830824763831</v>
      </c>
      <c r="T23" s="30">
        <f t="shared" ref="T23:U23" si="43">SUM(T21:T22)</f>
        <v>27320.606949240304</v>
      </c>
      <c r="U23" s="30">
        <f t="shared" si="43"/>
        <v>59490.091225773111</v>
      </c>
      <c r="V23" s="30">
        <f t="shared" ref="V23:W23" si="44">SUM(V21:V22)</f>
        <v>137186.47747481309</v>
      </c>
      <c r="W23" s="30">
        <f t="shared" si="44"/>
        <v>17786.644955356343</v>
      </c>
      <c r="X23" s="30">
        <f t="shared" ref="X23:Y23" si="45">SUM(X21:X22)</f>
        <v>-10104.800641526759</v>
      </c>
      <c r="Y23" s="30">
        <f t="shared" si="45"/>
        <v>5744.1709372941023</v>
      </c>
      <c r="Z23" s="30">
        <f t="shared" ref="Z23:AA23" si="46">SUM(Z21:Z22)</f>
        <v>7442.1541517788191</v>
      </c>
      <c r="AA23" s="30">
        <f t="shared" si="46"/>
        <v>20868.169411780997</v>
      </c>
      <c r="AB23" s="39">
        <f t="shared" ref="AB23" si="47">Z23-U23</f>
        <v>-52047.93707399429</v>
      </c>
      <c r="AC23" s="40">
        <f t="shared" ref="AC23" si="48">AB23/U23</f>
        <v>-0.87490094571321431</v>
      </c>
      <c r="AD23" s="39">
        <f t="shared" ref="AD23" si="49">(AA23)-(V23)</f>
        <v>-116318.30806303209</v>
      </c>
      <c r="AE23" s="40">
        <f t="shared" ref="AE23" si="50">AD23/(V23)</f>
        <v>-0.84788464726334045</v>
      </c>
      <c r="AF23" s="202"/>
    </row>
    <row r="24" spans="2:32" x14ac:dyDescent="0.2">
      <c r="B24" s="23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32"/>
      <c r="AD24" s="28"/>
      <c r="AE24" s="32"/>
    </row>
    <row r="25" spans="2:32" x14ac:dyDescent="0.2">
      <c r="B25" s="23" t="s">
        <v>53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32"/>
      <c r="AD25" s="28"/>
      <c r="AE25" s="32"/>
      <c r="AF25" s="2"/>
    </row>
    <row r="26" spans="2:32" x14ac:dyDescent="0.2">
      <c r="B26" s="22" t="s">
        <v>54</v>
      </c>
      <c r="C26" s="28">
        <f>5895*('2025 IR Data Book'!$A$5)</f>
        <v>5895</v>
      </c>
      <c r="D26" s="28">
        <f>5432*('2025 IR Data Book'!$A$5)</f>
        <v>5432</v>
      </c>
      <c r="E26" s="28">
        <f>5037*('2025 IR Data Book'!$A$5)</f>
        <v>5037</v>
      </c>
      <c r="F26" s="28">
        <f t="shared" ref="F26:F27" si="51">G26-C26-D26-E26</f>
        <v>-623</v>
      </c>
      <c r="G26" s="28">
        <f>(15741)*('2025 IR Data Book'!$A$5)</f>
        <v>15741</v>
      </c>
      <c r="H26" s="28">
        <f>8.02103920024501*('2025 IR Data Book'!$A$5)</f>
        <v>8.0210392002450099</v>
      </c>
      <c r="I26" s="28">
        <f>-23.9996667664583*('2025 IR Data Book'!$A$5)</f>
        <v>-23.999666766458301</v>
      </c>
      <c r="J26" s="28">
        <f>1191.33466071547*(('2025 IR Data Book'!$A$5))</f>
        <v>1191.3346607154699</v>
      </c>
      <c r="K26" s="28">
        <f>L26-H26-I26-J26</f>
        <v>-323.35603314925663</v>
      </c>
      <c r="L26" s="28">
        <f>852*(('2025 IR Data Book'!$A$5))</f>
        <v>852</v>
      </c>
      <c r="M26" s="28">
        <f>-360*(('2025 IR Data Book'!$A$5))</f>
        <v>-360</v>
      </c>
      <c r="N26" s="28">
        <f>-543.672105395049*((('2025 IR Data Book'!$A$5)))</f>
        <v>-543.67210539504902</v>
      </c>
      <c r="O26" s="28">
        <f>-333.444620318354*((('2025 IR Data Book'!$A$5)))</f>
        <v>-333.444620318354</v>
      </c>
      <c r="P26" s="28">
        <f>(Q26-M26-N26-O26)</f>
        <v>-91.778989414556179</v>
      </c>
      <c r="Q26" s="28">
        <f>'[7]IS package Dec YTD''23 Exc Info'!$C$31*(('2025 IR Data Book'!$A$5))</f>
        <v>-1328.8957151279592</v>
      </c>
      <c r="R26" s="28">
        <f>'[8]IS package 1st Qrt''24 Exc Info'!$C$31*(('2025 IR Data Book'!$A$5))</f>
        <v>-284.25333868520545</v>
      </c>
      <c r="S26" s="28">
        <f>'[9]IS package 2nd Qrt''24 Exc Info'!$C$31*(('2025 IR Data Book'!$A$5))</f>
        <v>-267.35304049398258</v>
      </c>
      <c r="T26" s="28">
        <f>'[10]IS package 3rd Qrt''24 Exc Info'!$C$31*(('2025 IR Data Book'!$A$5))</f>
        <v>-200.75617195775348</v>
      </c>
      <c r="U26" s="28">
        <f t="shared" ref="U26:U27" si="52">(V26-R26-S26-T26)</f>
        <v>49.029931942602246</v>
      </c>
      <c r="V26" s="28">
        <f>'[11]IS package Dec YTD''24 Exc Info'!$C$31*(('2025 IR Data Book'!$A$5))</f>
        <v>-703.33261919433926</v>
      </c>
      <c r="W26" s="28">
        <f>'[12]IS package 1st Qtr''25 Exc Info'!$C$31*(('2025 IR Data Book'!$A$5))</f>
        <v>0</v>
      </c>
      <c r="X26" s="28">
        <f>'[13]IS package 2nd Qrt''25 Exc Info'!$C$31*(('2025 IR Data Book'!$A$5))</f>
        <v>0</v>
      </c>
      <c r="Y26" s="28">
        <f>'[14]IS package 3rd Qrt''25 Exc Info'!$C$31*(('2025 IR Data Book'!$A$5))</f>
        <v>0</v>
      </c>
      <c r="Z26" s="28">
        <f>'[15]IS package 4th Qrt''25 Exc Info'!$C$31*(('2025 IR Data Book'!$A$5))</f>
        <v>0</v>
      </c>
      <c r="AA26" s="28">
        <f>'[15]IS package Dec YTD''25 Exc Info'!$C$31*(('2025 IR Data Book'!$A$5))</f>
        <v>0</v>
      </c>
      <c r="AB26" s="28">
        <f t="shared" ref="AB26:AB28" si="53">Z26-U26</f>
        <v>-49.029931942602246</v>
      </c>
      <c r="AC26" s="32">
        <f t="shared" ref="AC26:AC28" si="54">AB26/U26</f>
        <v>-1</v>
      </c>
      <c r="AD26" s="28">
        <f t="shared" ref="AD26:AD28" si="55">(AA26)-(V26)</f>
        <v>703.33261919433926</v>
      </c>
      <c r="AE26" s="32">
        <f t="shared" ref="AE26:AE28" si="56">AD26/(V26)</f>
        <v>-1</v>
      </c>
    </row>
    <row r="27" spans="2:32" x14ac:dyDescent="0.2">
      <c r="B27" s="22" t="s">
        <v>55</v>
      </c>
      <c r="C27" s="28">
        <f>0*('2025 IR Data Book'!$A$5)</f>
        <v>0</v>
      </c>
      <c r="D27" s="28">
        <f>0*('2025 IR Data Book'!$A$5)</f>
        <v>0</v>
      </c>
      <c r="E27" s="28">
        <f>31608*('2025 IR Data Book'!$A$5)</f>
        <v>31608</v>
      </c>
      <c r="F27" s="28">
        <f t="shared" si="51"/>
        <v>0</v>
      </c>
      <c r="G27" s="28">
        <f>(31608)*('2025 IR Data Book'!$A$5)</f>
        <v>31608</v>
      </c>
      <c r="H27" s="28">
        <f>800.0869278*('2025 IR Data Book'!$A$5)</f>
        <v>800.08692780000001</v>
      </c>
      <c r="I27" s="28">
        <f>0*('2025 IR Data Book'!$A$5)</f>
        <v>0</v>
      </c>
      <c r="J27" s="28">
        <f>1520.9044572*(('2025 IR Data Book'!$A$5))</f>
        <v>1520.9044572</v>
      </c>
      <c r="K27" s="28">
        <f>L27-H27-I27-J27</f>
        <v>1194.008615</v>
      </c>
      <c r="L27" s="28">
        <f>3515*(('2025 IR Data Book'!$A$5))</f>
        <v>3515</v>
      </c>
      <c r="M27" s="28">
        <f>0*('2025 IR Data Book'!$A$5)</f>
        <v>0</v>
      </c>
      <c r="N27" s="28"/>
      <c r="O27" s="28"/>
      <c r="P27" s="28">
        <f>(Q27-M27-N27-O27)</f>
        <v>0</v>
      </c>
      <c r="Q27" s="28">
        <f>'[7]IS package Dec YTD''23 Exc Info'!$C$32*(('2025 IR Data Book'!$A$5))</f>
        <v>0</v>
      </c>
      <c r="R27" s="28">
        <f>'[8]IS package 1st Qrt''24 Exc Info'!$C$32*(('2025 IR Data Book'!$A$5))</f>
        <v>0</v>
      </c>
      <c r="S27" s="28">
        <f>'[9]IS package 2nd Qrt''24 Exc Info'!$C$32*(('2025 IR Data Book'!$A$5))</f>
        <v>0</v>
      </c>
      <c r="T27" s="28">
        <f>'[10]IS package 3rd Qrt''24 Exc Info'!$C$32*(('2025 IR Data Book'!$A$5))</f>
        <v>0</v>
      </c>
      <c r="U27" s="28">
        <f t="shared" si="52"/>
        <v>7041.7959369119999</v>
      </c>
      <c r="V27" s="28">
        <f>'[11]IS package Dec YTD''24 Exc Info'!$C$32*(('2025 IR Data Book'!$A$5))</f>
        <v>7041.7959369119999</v>
      </c>
      <c r="W27" s="28">
        <f>'[12]IS package 1st Qtr''25 Exc Info'!$C$32*(('2025 IR Data Book'!$A$5))</f>
        <v>0</v>
      </c>
      <c r="X27" s="28">
        <f>'[13]IS package 2nd Qrt''25 Exc Info'!$C$32*(('2025 IR Data Book'!$A$5))</f>
        <v>0</v>
      </c>
      <c r="Y27" s="28">
        <f>'[14]IS package 3rd Qrt''25 Exc Info'!$C$32*(('2025 IR Data Book'!$A$5))</f>
        <v>0</v>
      </c>
      <c r="Z27" s="28">
        <f>'[15]IS package 4th Qrt''25 Exc Info'!$C$32*(('2025 IR Data Book'!$A$5))</f>
        <v>0</v>
      </c>
      <c r="AA27" s="28">
        <f>'[15]IS package Dec YTD''25 Exc Info'!$C$32*(('2025 IR Data Book'!$A$5))</f>
        <v>0</v>
      </c>
      <c r="AB27" s="28">
        <f t="shared" si="53"/>
        <v>-7041.7959369119999</v>
      </c>
      <c r="AC27" s="257">
        <f t="shared" si="54"/>
        <v>-1</v>
      </c>
      <c r="AD27" s="28">
        <f t="shared" si="55"/>
        <v>-7041.7959369119999</v>
      </c>
      <c r="AE27" s="257">
        <f t="shared" si="56"/>
        <v>-1</v>
      </c>
    </row>
    <row r="28" spans="2:32" ht="15" x14ac:dyDescent="0.25">
      <c r="B28" s="23" t="s">
        <v>56</v>
      </c>
      <c r="C28" s="30">
        <f>C26+C23+C27</f>
        <v>47345</v>
      </c>
      <c r="D28" s="30">
        <f>D26+D23+D27</f>
        <v>66245</v>
      </c>
      <c r="E28" s="30">
        <f t="shared" ref="E28:G28" si="57">E26+E23+E27</f>
        <v>68642</v>
      </c>
      <c r="F28" s="30">
        <f t="shared" si="57"/>
        <v>45869</v>
      </c>
      <c r="G28" s="30">
        <f t="shared" si="57"/>
        <v>228101</v>
      </c>
      <c r="H28" s="30">
        <f t="shared" ref="H28:N28" si="58">H26+H23+H27</f>
        <v>47785.267288928779</v>
      </c>
      <c r="I28" s="30">
        <f t="shared" si="58"/>
        <v>44987.517481930292</v>
      </c>
      <c r="J28" s="30">
        <f t="shared" si="58"/>
        <v>39524.338953169317</v>
      </c>
      <c r="K28" s="30">
        <f t="shared" si="58"/>
        <v>33089.345658299986</v>
      </c>
      <c r="L28" s="30">
        <f t="shared" si="58"/>
        <v>165386.46938232792</v>
      </c>
      <c r="M28" s="30">
        <f t="shared" si="58"/>
        <v>24202</v>
      </c>
      <c r="N28" s="30">
        <f t="shared" si="58"/>
        <v>18476.274561909318</v>
      </c>
      <c r="O28" s="30">
        <f t="shared" ref="O28:Q28" si="59">O26+O23+O27</f>
        <v>8689.2927103552502</v>
      </c>
      <c r="P28" s="30">
        <f t="shared" si="59"/>
        <v>77038.134522860841</v>
      </c>
      <c r="Q28" s="30">
        <f t="shared" si="59"/>
        <v>128405.70179512529</v>
      </c>
      <c r="R28" s="30">
        <f t="shared" ref="R28:S28" si="60">R26+R23+R27</f>
        <v>46740.042878638618</v>
      </c>
      <c r="S28" s="30">
        <f t="shared" si="60"/>
        <v>3084.1300419824006</v>
      </c>
      <c r="T28" s="30">
        <f t="shared" ref="T28:U28" si="61">T26+T23+T27</f>
        <v>27119.850777282551</v>
      </c>
      <c r="U28" s="30">
        <f t="shared" si="61"/>
        <v>66580.917094627715</v>
      </c>
      <c r="V28" s="30">
        <f t="shared" ref="V28:W28" si="62">V26+V23+V27</f>
        <v>143524.94079253075</v>
      </c>
      <c r="W28" s="30">
        <f t="shared" si="62"/>
        <v>17786.644955356343</v>
      </c>
      <c r="X28" s="30">
        <f t="shared" ref="X28:Y28" si="63">X26+X23+X27</f>
        <v>-10104.800641526759</v>
      </c>
      <c r="Y28" s="30">
        <f t="shared" si="63"/>
        <v>5744.1709372941023</v>
      </c>
      <c r="Z28" s="30">
        <f t="shared" ref="Z28:AA28" si="64">Z26+Z23+Z27</f>
        <v>7442.1541517788191</v>
      </c>
      <c r="AA28" s="30">
        <f t="shared" si="64"/>
        <v>20868.169411780997</v>
      </c>
      <c r="AB28" s="39">
        <f t="shared" si="53"/>
        <v>-59138.762942848894</v>
      </c>
      <c r="AC28" s="213">
        <f t="shared" si="54"/>
        <v>-0.88822391645339305</v>
      </c>
      <c r="AD28" s="39">
        <f t="shared" si="55"/>
        <v>-122656.77138074975</v>
      </c>
      <c r="AE28" s="213">
        <f t="shared" si="56"/>
        <v>-0.85460248722940424</v>
      </c>
      <c r="AF28" s="202"/>
    </row>
    <row r="29" spans="2:32" x14ac:dyDescent="0.2">
      <c r="B29" s="23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32"/>
      <c r="AD29" s="28"/>
      <c r="AE29" s="32"/>
    </row>
    <row r="30" spans="2:32" x14ac:dyDescent="0.2">
      <c r="B30" s="23" t="s">
        <v>57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32"/>
      <c r="AD30" s="28"/>
      <c r="AE30" s="32"/>
    </row>
    <row r="31" spans="2:32" x14ac:dyDescent="0.2">
      <c r="B31" s="27" t="s">
        <v>58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32"/>
      <c r="AD31" s="28"/>
      <c r="AE31" s="32"/>
    </row>
    <row r="32" spans="2:32" x14ac:dyDescent="0.2">
      <c r="B32" s="22" t="s">
        <v>59</v>
      </c>
      <c r="C32" s="28">
        <f>40656*('2025 IR Data Book'!$A$5)</f>
        <v>40656</v>
      </c>
      <c r="D32" s="28">
        <f>60419*('2025 IR Data Book'!$A$5)</f>
        <v>60419</v>
      </c>
      <c r="E32" s="28">
        <f>31350*('2025 IR Data Book'!$A$5)</f>
        <v>31350</v>
      </c>
      <c r="F32" s="28">
        <f t="shared" ref="F32:F33" si="65">G32-C32-D32-E32</f>
        <v>46870</v>
      </c>
      <c r="G32" s="28">
        <f>(179295)*('2025 IR Data Book'!$A$5)</f>
        <v>179295</v>
      </c>
      <c r="H32" s="28">
        <f>46494.1878882839*('2025 IR Data Book'!$A$5)</f>
        <v>46494.187888283901</v>
      </c>
      <c r="I32" s="28">
        <f>44592.4391410097*('2025 IR Data Book'!$A$5)</f>
        <v>44592.439141009701</v>
      </c>
      <c r="J32" s="28">
        <f>36931.2203883523*(('2025 IR Data Book'!$A$5))</f>
        <v>36931.220388352303</v>
      </c>
      <c r="K32" s="28">
        <f>L32-H32-I32-J32</f>
        <v>32994.152582354101</v>
      </c>
      <c r="L32" s="28">
        <f>161012*(('2025 IR Data Book'!$A$5))</f>
        <v>161012</v>
      </c>
      <c r="M32" s="28">
        <f>24269*(('2025 IR Data Book'!$A$5))</f>
        <v>24269</v>
      </c>
      <c r="N32" s="28">
        <f>19504.2554196132*((('2025 IR Data Book'!$A$5)))</f>
        <v>19504.255419613201</v>
      </c>
      <c r="O32" s="28">
        <f>9974.73454692485*((('2025 IR Data Book'!$A$5)))</f>
        <v>9974.7345469248503</v>
      </c>
      <c r="P32" s="28">
        <f>(Q32-M32-N32-O32)</f>
        <v>76877.715521219827</v>
      </c>
      <c r="Q32" s="28">
        <f>'[7]IS package Dec YTD''23 Exc Info'!$C$37*(('2025 IR Data Book'!$A$5))</f>
        <v>130625.70548775788</v>
      </c>
      <c r="R32" s="28">
        <f>'[8]IS package 1st Qrt''24 Exc Info'!$C$37*(('2025 IR Data Book'!$A$5))</f>
        <v>46849.109590275613</v>
      </c>
      <c r="S32" s="28">
        <f>'[9]IS package 2nd Qrt''24 Exc Info'!$C$37*(('2025 IR Data Book'!$A$5))</f>
        <v>3160.5026874397081</v>
      </c>
      <c r="T32" s="28">
        <f>'[10]IS package 3rd Qrt''24 Exc Info'!$C$37*(('2025 IR Data Book'!$A$5))</f>
        <v>26885.890230758265</v>
      </c>
      <c r="U32" s="28">
        <f t="shared" ref="U32:U33" si="66">(V32-R32-S32-T32)</f>
        <v>58576.610193868255</v>
      </c>
      <c r="V32" s="28">
        <f>'[11]IS package Dec YTD''24 Exc Info'!$C$37*(('2025 IR Data Book'!$A$5))</f>
        <v>135472.11270234184</v>
      </c>
      <c r="W32" s="28">
        <f>'[12]IS package 1st Qtr''25 Exc Info'!$C$37*(('2025 IR Data Book'!$A$5))</f>
        <v>17122.965788946422</v>
      </c>
      <c r="X32" s="28">
        <f>'[13]IS package 2nd Qrt''25 Exc Info'!$C$37*(('2025 IR Data Book'!$A$5))</f>
        <v>-9269.3515549962613</v>
      </c>
      <c r="Y32" s="28">
        <f>'[14]IS package 3rd Qrt''25 Exc Info'!$C$37*(('2025 IR Data Book'!$A$5))</f>
        <v>5212.0439494376542</v>
      </c>
      <c r="Z32" s="28">
        <f>'[15]IS package 4th Qrt''25 Exc Info'!$C$37*(('2025 IR Data Book'!$A$5))</f>
        <v>7516.5128900265181</v>
      </c>
      <c r="AA32" s="28">
        <f>'[15]IS package Dec YTD''25 Exc Info'!$C$37*(('2025 IR Data Book'!$A$5))</f>
        <v>20582.171082293069</v>
      </c>
      <c r="AB32" s="28">
        <f t="shared" ref="AB32:AB34" si="67">Z32-U32</f>
        <v>-51060.097303841736</v>
      </c>
      <c r="AC32" s="32">
        <f t="shared" ref="AC32:AC34" si="68">AB32/U32</f>
        <v>-0.87168064411461388</v>
      </c>
      <c r="AD32" s="28">
        <f t="shared" ref="AD32:AD34" si="69">(AA32)-(V32)</f>
        <v>-114889.94162004878</v>
      </c>
      <c r="AE32" s="32">
        <f t="shared" ref="AE32:AE34" si="70">AD32/(V32)</f>
        <v>-0.84807078983468698</v>
      </c>
    </row>
    <row r="33" spans="2:32" x14ac:dyDescent="0.2">
      <c r="B33" s="22" t="s">
        <v>60</v>
      </c>
      <c r="C33" s="28">
        <f>5357*('2025 IR Data Book'!$A$5)</f>
        <v>5357</v>
      </c>
      <c r="D33" s="28">
        <f>5047*('2025 IR Data Book'!$A$5)</f>
        <v>5047</v>
      </c>
      <c r="E33" s="28">
        <f>36465*('2025 IR Data Book'!$A$5)</f>
        <v>36465</v>
      </c>
      <c r="F33" s="28">
        <f t="shared" si="65"/>
        <v>-623</v>
      </c>
      <c r="G33" s="28">
        <f>(46246)*('2025 IR Data Book'!$A$5)</f>
        <v>46246</v>
      </c>
      <c r="H33" s="28">
        <f>808.109436040245*('2025 IR Data Book'!$A$5)</f>
        <v>808.10943604024499</v>
      </c>
      <c r="I33" s="28">
        <f>-24.0000340264582*('2025 IR Data Book'!$A$5)</f>
        <v>-24.000034026458199</v>
      </c>
      <c r="J33" s="28">
        <f>2712.23853029947*(('2025 IR Data Book'!$A$5))</f>
        <v>2712.2385302994699</v>
      </c>
      <c r="K33" s="28">
        <f>L33-H33-I33-J33</f>
        <v>870.65206768674352</v>
      </c>
      <c r="L33" s="28">
        <f>4367*(('2025 IR Data Book'!$A$5))</f>
        <v>4367</v>
      </c>
      <c r="M33" s="28">
        <f>-360*(('2025 IR Data Book'!$A$5))</f>
        <v>-360</v>
      </c>
      <c r="N33" s="28">
        <f>-543.672178847049*((('2025 IR Data Book'!$A$5)))</f>
        <v>-543.67217884704905</v>
      </c>
      <c r="O33" s="28">
        <f>-333.444583592354*((('2025 IR Data Book'!$A$5)))</f>
        <v>-333.44458359235398</v>
      </c>
      <c r="P33" s="28">
        <f>(Q33-M33-N33-O33)</f>
        <v>-91.781229700556082</v>
      </c>
      <c r="Q33" s="28">
        <f>'[7]IS package Dec YTD''23 Exc Info'!$C$38*(('2025 IR Data Book'!$A$5))</f>
        <v>-1328.8979921399591</v>
      </c>
      <c r="R33" s="28">
        <f>'[8]IS package 1st Qrt''24 Exc Info'!$C$38*(('2025 IR Data Book'!$A$5))</f>
        <v>-284.25337541120564</v>
      </c>
      <c r="S33" s="28">
        <f>'[9]IS package 2nd Qrt''24 Exc Info'!$C$38*(('2025 IR Data Book'!$A$5))</f>
        <v>-267.35304049398246</v>
      </c>
      <c r="T33" s="28">
        <f>'[10]IS package 3rd Qrt''24 Exc Info'!$C$38*(('2025 IR Data Book'!$A$5))</f>
        <v>-200.75617195775337</v>
      </c>
      <c r="U33" s="28">
        <f t="shared" si="66"/>
        <v>7090.8266033746022</v>
      </c>
      <c r="V33" s="28">
        <f>'[11]IS package Dec YTD''24 Exc Info'!$C$38*(('2025 IR Data Book'!$A$5))</f>
        <v>6338.4640155116604</v>
      </c>
      <c r="W33" s="28">
        <f>'[12]IS package 1st Qtr''25 Exc Info'!$C$38*(('2025 IR Data Book'!$A$5))</f>
        <v>0</v>
      </c>
      <c r="X33" s="28">
        <f>'[13]IS package 2nd Qrt''25 Exc Info'!$C$38*(('2025 IR Data Book'!$A$5))</f>
        <v>0</v>
      </c>
      <c r="Y33" s="28">
        <f>'[14]IS package 3rd Qrt''25 Exc Info'!$C$38*(('2025 IR Data Book'!$A$5))</f>
        <v>0</v>
      </c>
      <c r="Z33" s="28">
        <f>'[15]IS package 4th Qrt''25 Exc Info'!$C$38*(('2025 IR Data Book'!$A$5))</f>
        <v>0</v>
      </c>
      <c r="AA33" s="28">
        <f>'[15]IS package Dec YTD''25 Exc Info'!$C$38*(('2025 IR Data Book'!$A$5))</f>
        <v>0</v>
      </c>
      <c r="AB33" s="28">
        <f t="shared" si="67"/>
        <v>-7090.8266033746022</v>
      </c>
      <c r="AC33" s="32">
        <f t="shared" si="68"/>
        <v>-1</v>
      </c>
      <c r="AD33" s="28">
        <f t="shared" si="69"/>
        <v>-6338.4640155116604</v>
      </c>
      <c r="AE33" s="32">
        <f t="shared" si="70"/>
        <v>-1</v>
      </c>
    </row>
    <row r="34" spans="2:32" ht="15" x14ac:dyDescent="0.25">
      <c r="B34" s="22"/>
      <c r="C34" s="30">
        <f>SUM(C32:C33)</f>
        <v>46013</v>
      </c>
      <c r="D34" s="30">
        <f>SUM(D32:D33)</f>
        <v>65466</v>
      </c>
      <c r="E34" s="30">
        <f t="shared" ref="E34:G34" si="71">SUM(E32:E33)</f>
        <v>67815</v>
      </c>
      <c r="F34" s="30">
        <f t="shared" si="71"/>
        <v>46247</v>
      </c>
      <c r="G34" s="30">
        <f t="shared" si="71"/>
        <v>225541</v>
      </c>
      <c r="H34" s="30">
        <f t="shared" ref="H34:N34" si="72">SUM(H32:H33)</f>
        <v>47302.297324324143</v>
      </c>
      <c r="I34" s="30">
        <f t="shared" si="72"/>
        <v>44568.439106983242</v>
      </c>
      <c r="J34" s="30">
        <f t="shared" si="72"/>
        <v>39643.45891865177</v>
      </c>
      <c r="K34" s="30">
        <f t="shared" si="72"/>
        <v>33864.804650040845</v>
      </c>
      <c r="L34" s="30">
        <f t="shared" si="72"/>
        <v>165379</v>
      </c>
      <c r="M34" s="30">
        <f t="shared" si="72"/>
        <v>23909</v>
      </c>
      <c r="N34" s="30">
        <f t="shared" si="72"/>
        <v>18960.583240766151</v>
      </c>
      <c r="O34" s="30">
        <f t="shared" ref="O34:Q34" si="73">SUM(O32:O33)</f>
        <v>9641.289963332496</v>
      </c>
      <c r="P34" s="30">
        <f t="shared" si="73"/>
        <v>76785.934291519268</v>
      </c>
      <c r="Q34" s="30">
        <f t="shared" si="73"/>
        <v>129296.80749561792</v>
      </c>
      <c r="R34" s="30">
        <f t="shared" ref="R34:S34" si="74">SUM(R32:R33)</f>
        <v>46564.856214864405</v>
      </c>
      <c r="S34" s="30">
        <f t="shared" si="74"/>
        <v>2893.1496469457256</v>
      </c>
      <c r="T34" s="30">
        <f t="shared" ref="T34:U34" si="75">SUM(T32:T33)</f>
        <v>26685.134058800511</v>
      </c>
      <c r="U34" s="30">
        <f t="shared" si="75"/>
        <v>65667.436797242859</v>
      </c>
      <c r="V34" s="30">
        <f t="shared" ref="V34:W34" si="76">SUM(V32:V33)</f>
        <v>141810.57671785349</v>
      </c>
      <c r="W34" s="30">
        <f t="shared" si="76"/>
        <v>17122.965788946422</v>
      </c>
      <c r="X34" s="30">
        <f t="shared" ref="X34:Y34" si="77">SUM(X32:X33)</f>
        <v>-9269.3515549962613</v>
      </c>
      <c r="Y34" s="30">
        <f t="shared" si="77"/>
        <v>5212.0439494376542</v>
      </c>
      <c r="Z34" s="30">
        <f t="shared" ref="Z34:AA34" si="78">SUM(Z32:Z33)</f>
        <v>7516.5128900265181</v>
      </c>
      <c r="AA34" s="30">
        <f t="shared" si="78"/>
        <v>20582.171082293069</v>
      </c>
      <c r="AB34" s="39">
        <f t="shared" si="67"/>
        <v>-58150.92390721634</v>
      </c>
      <c r="AC34" s="213">
        <f t="shared" si="68"/>
        <v>-0.88553667911182865</v>
      </c>
      <c r="AD34" s="39">
        <f t="shared" si="69"/>
        <v>-121228.40563556043</v>
      </c>
      <c r="AE34" s="213">
        <f t="shared" si="70"/>
        <v>-0.85486152331752108</v>
      </c>
      <c r="AF34" s="202"/>
    </row>
    <row r="35" spans="2:32" x14ac:dyDescent="0.2">
      <c r="B35" s="27" t="s">
        <v>61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32"/>
      <c r="AD35" s="28"/>
      <c r="AE35" s="32"/>
      <c r="AF35" s="2"/>
    </row>
    <row r="36" spans="2:32" x14ac:dyDescent="0.2">
      <c r="B36" s="22" t="s">
        <v>62</v>
      </c>
      <c r="C36" s="28">
        <f>794*('2025 IR Data Book'!$A$5)</f>
        <v>794</v>
      </c>
      <c r="D36" s="28">
        <f>394*('2025 IR Data Book'!$A$5)</f>
        <v>394</v>
      </c>
      <c r="E36" s="28">
        <f>647*('2025 IR Data Book'!$A$5)</f>
        <v>647</v>
      </c>
      <c r="F36" s="28">
        <f t="shared" ref="F36:F37" si="79">G36-C36-D36-E36</f>
        <v>-378</v>
      </c>
      <c r="G36" s="28">
        <f>1457*('2025 IR Data Book'!$A$5)</f>
        <v>1457</v>
      </c>
      <c r="H36" s="28">
        <f>482.969964602641*('2025 IR Data Book'!$A$5)</f>
        <v>482.96996460264103</v>
      </c>
      <c r="I36" s="28">
        <f>420*('2025 IR Data Book'!$A$5)</f>
        <v>420</v>
      </c>
      <c r="J36" s="28">
        <f>-119.121592951046*(('2025 IR Data Book'!$A$5))</f>
        <v>-119.121592951046</v>
      </c>
      <c r="K36" s="28">
        <f>L36-H36-I36-J36</f>
        <v>-776.89310719436708</v>
      </c>
      <c r="L36" s="28">
        <f>6.95526445722799*(('2025 IR Data Book'!$A$5))</f>
        <v>6.9552644572279902</v>
      </c>
      <c r="M36" s="28">
        <f>293*(('2025 IR Data Book'!$A$5))</f>
        <v>293</v>
      </c>
      <c r="N36" s="28">
        <f>-484.30867885866*((('2025 IR Data Book'!$A$5)))</f>
        <v>-484.30867885866002</v>
      </c>
      <c r="O36" s="28">
        <f>-951.99963214133*((('2025 IR Data Book'!$A$5)))</f>
        <v>-951.99963214133004</v>
      </c>
      <c r="P36" s="28">
        <f>(Q36-M36-N36-O36)</f>
        <v>252.20022193205295</v>
      </c>
      <c r="Q36" s="28">
        <f>'[7]IS package Dec YTD''23 Exc Info'!$C$41*(('2025 IR Data Book'!$A$5))</f>
        <v>-891.10808906793704</v>
      </c>
      <c r="R36" s="28">
        <f>'[8]IS package 1st Qrt''24 Exc Info'!$C$41*(('2025 IR Data Book'!$A$5))</f>
        <v>175.18666377410992</v>
      </c>
      <c r="S36" s="28">
        <f>'[9]IS package 2nd Qrt''24 Exc Info'!$C$41*(('2025 IR Data Book'!$A$5))</f>
        <v>190.98039503667349</v>
      </c>
      <c r="T36" s="28">
        <f>'[10]IS package 3rd Qrt''24 Exc Info'!$C$41*(('2025 IR Data Book'!$A$5))</f>
        <v>434.71671848174554</v>
      </c>
      <c r="U36" s="28">
        <f t="shared" ref="U36:U37" si="80">(V36-R36-S36-T36)</f>
        <v>913.47985667131957</v>
      </c>
      <c r="V36" s="28">
        <f>'[11]IS package Dec YTD''24 Exc Info'!$C$41*(('2025 IR Data Book'!$A$5))</f>
        <v>1714.3636339638485</v>
      </c>
      <c r="W36" s="28">
        <f>'[12]IS package 1st Qtr''25 Exc Info'!$C$41*(('2025 IR Data Book'!$A$5))</f>
        <v>663.67916640927831</v>
      </c>
      <c r="X36" s="28">
        <f>'[13]IS package 2nd Qrt''25 Exc Info'!$C$41*(('2025 IR Data Book'!$A$5))</f>
        <v>-835.44908653017239</v>
      </c>
      <c r="Y36" s="28">
        <f>'[14]IS package 3rd Qrt''25 Exc Info'!$C$41*(('2025 IR Data Book'!$A$5))</f>
        <v>532.12698785680459</v>
      </c>
      <c r="Z36" s="28">
        <f>'[15]IS package 4th Qrt''25 Exc Info'!$C$41*(('2025 IR Data Book'!$A$5))</f>
        <v>-74.358738246791503</v>
      </c>
      <c r="AA36" s="28">
        <f>'[15]IS package Dec YTD''25 Exc Info'!$C$41*(('2025 IR Data Book'!$A$5))</f>
        <v>285.99832948911882</v>
      </c>
      <c r="AB36" s="28">
        <f t="shared" ref="AB36:AB38" si="81">Z36-U36</f>
        <v>-987.83859491811108</v>
      </c>
      <c r="AC36" s="32">
        <f t="shared" ref="AC36:AC38" si="82">AB36/U36</f>
        <v>-1.0814016178941828</v>
      </c>
      <c r="AD36" s="28">
        <f t="shared" ref="AD36:AD38" si="83">(AA36)-(V36)</f>
        <v>-1428.3653044747298</v>
      </c>
      <c r="AE36" s="32">
        <f t="shared" ref="AE36:AE38" si="84">AD36/(V36)</f>
        <v>-0.83317522384218412</v>
      </c>
    </row>
    <row r="37" spans="2:32" x14ac:dyDescent="0.2">
      <c r="B37" s="22" t="s">
        <v>63</v>
      </c>
      <c r="C37" s="28">
        <f>538*('2025 IR Data Book'!$A$5)</f>
        <v>538</v>
      </c>
      <c r="D37" s="28">
        <f>385*('2025 IR Data Book'!$A$5)</f>
        <v>385</v>
      </c>
      <c r="E37" s="28">
        <f>180*('2025 IR Data Book'!$A$5)</f>
        <v>180</v>
      </c>
      <c r="F37" s="28">
        <f t="shared" si="79"/>
        <v>0</v>
      </c>
      <c r="G37" s="28">
        <f>(1103)*('2025 IR Data Book'!$A$5)</f>
        <v>1103</v>
      </c>
      <c r="H37" s="28">
        <f>0*('2025 IR Data Book'!$A$5)</f>
        <v>0</v>
      </c>
      <c r="I37" s="28">
        <f>0*('2025 IR Data Book'!$A$5)</f>
        <v>0</v>
      </c>
      <c r="J37" s="28">
        <f>0*(('2025 IR Data Book'!$A$5))</f>
        <v>0</v>
      </c>
      <c r="K37" s="28">
        <f>L37-H37-I37-J37</f>
        <v>0</v>
      </c>
      <c r="L37" s="28">
        <f>0*(('2025 IR Data Book'!$A$5))</f>
        <v>0</v>
      </c>
      <c r="M37" s="28">
        <f>0*(('2025 IR Data Book'!$A$5))</f>
        <v>0</v>
      </c>
      <c r="N37" s="28">
        <f>0*((('2025 IR Data Book'!$A$5)))</f>
        <v>0</v>
      </c>
      <c r="O37" s="28">
        <f>0*((('2025 IR Data Book'!$A$5)))</f>
        <v>0</v>
      </c>
      <c r="P37" s="28">
        <f>(Q37-M37-N37-O37)</f>
        <v>0</v>
      </c>
      <c r="Q37" s="28">
        <f>0*(('2025 IR Data Book'!$A$5))</f>
        <v>0</v>
      </c>
      <c r="R37" s="28">
        <f>0*(('2025 IR Data Book'!$A$5))</f>
        <v>0</v>
      </c>
      <c r="S37" s="28">
        <f>0*(('2025 IR Data Book'!$A$5))</f>
        <v>0</v>
      </c>
      <c r="T37" s="28">
        <f>0*(('2025 IR Data Book'!$A$5))</f>
        <v>0</v>
      </c>
      <c r="U37" s="28">
        <f t="shared" si="80"/>
        <v>0</v>
      </c>
      <c r="V37" s="28">
        <f>0*(('2025 IR Data Book'!$A$5))</f>
        <v>0</v>
      </c>
      <c r="W37" s="28">
        <f>0*(('2025 IR Data Book'!$A$5))</f>
        <v>0</v>
      </c>
      <c r="X37" s="28">
        <f>0*(('2025 IR Data Book'!$A$5))</f>
        <v>0</v>
      </c>
      <c r="Y37" s="28">
        <f>0*(('2025 IR Data Book'!$A$5))</f>
        <v>0</v>
      </c>
      <c r="Z37" s="28">
        <f>0*(('2025 IR Data Book'!$A$5))</f>
        <v>0</v>
      </c>
      <c r="AA37" s="28">
        <f>0*(('2025 IR Data Book'!$A$5))</f>
        <v>0</v>
      </c>
      <c r="AB37" s="28">
        <f t="shared" si="81"/>
        <v>0</v>
      </c>
      <c r="AC37" s="257" t="s">
        <v>244</v>
      </c>
      <c r="AD37" s="28">
        <f t="shared" si="83"/>
        <v>0</v>
      </c>
      <c r="AE37" s="32" t="s">
        <v>244</v>
      </c>
    </row>
    <row r="38" spans="2:32" ht="15" x14ac:dyDescent="0.25">
      <c r="B38" s="23"/>
      <c r="C38" s="30">
        <f>SUM(C36:C37)</f>
        <v>1332</v>
      </c>
      <c r="D38" s="30">
        <f>SUM(D36:D37)</f>
        <v>779</v>
      </c>
      <c r="E38" s="30">
        <f t="shared" ref="E38:G38" si="85">SUM(E36:E37)</f>
        <v>827</v>
      </c>
      <c r="F38" s="30">
        <f t="shared" si="85"/>
        <v>-378</v>
      </c>
      <c r="G38" s="30">
        <f t="shared" si="85"/>
        <v>2560</v>
      </c>
      <c r="H38" s="30">
        <f t="shared" ref="H38:N38" si="86">SUM(H36:H37)</f>
        <v>482.96996460264103</v>
      </c>
      <c r="I38" s="30">
        <f t="shared" si="86"/>
        <v>420</v>
      </c>
      <c r="J38" s="30">
        <f t="shared" si="86"/>
        <v>-119.121592951046</v>
      </c>
      <c r="K38" s="30">
        <f t="shared" si="86"/>
        <v>-776.89310719436708</v>
      </c>
      <c r="L38" s="30">
        <f t="shared" si="86"/>
        <v>6.9552644572279902</v>
      </c>
      <c r="M38" s="30">
        <f t="shared" si="86"/>
        <v>293</v>
      </c>
      <c r="N38" s="30">
        <f t="shared" si="86"/>
        <v>-484.30867885866002</v>
      </c>
      <c r="O38" s="30">
        <f t="shared" ref="O38:Q38" si="87">SUM(O36:O37)</f>
        <v>-951.99963214133004</v>
      </c>
      <c r="P38" s="30">
        <f t="shared" si="87"/>
        <v>252.20022193205295</v>
      </c>
      <c r="Q38" s="30">
        <f t="shared" si="87"/>
        <v>-891.10808906793704</v>
      </c>
      <c r="R38" s="30">
        <f t="shared" ref="R38:S38" si="88">SUM(R36:R37)</f>
        <v>175.18666377410992</v>
      </c>
      <c r="S38" s="30">
        <f t="shared" si="88"/>
        <v>190.98039503667349</v>
      </c>
      <c r="T38" s="30">
        <f t="shared" ref="T38:U38" si="89">SUM(T36:T37)</f>
        <v>434.71671848174554</v>
      </c>
      <c r="U38" s="30">
        <f t="shared" si="89"/>
        <v>913.47985667131957</v>
      </c>
      <c r="V38" s="30">
        <f t="shared" ref="V38:W38" si="90">SUM(V36:V37)</f>
        <v>1714.3636339638485</v>
      </c>
      <c r="W38" s="30">
        <f t="shared" si="90"/>
        <v>663.67916640927831</v>
      </c>
      <c r="X38" s="30">
        <f t="shared" ref="X38:Y38" si="91">SUM(X36:X37)</f>
        <v>-835.44908653017239</v>
      </c>
      <c r="Y38" s="30">
        <f t="shared" si="91"/>
        <v>532.12698785680459</v>
      </c>
      <c r="Z38" s="30">
        <f t="shared" ref="Z38:AA38" si="92">SUM(Z36:Z37)</f>
        <v>-74.358738246791503</v>
      </c>
      <c r="AA38" s="30">
        <f t="shared" si="92"/>
        <v>285.99832948911882</v>
      </c>
      <c r="AB38" s="39">
        <f t="shared" si="81"/>
        <v>-987.83859491811108</v>
      </c>
      <c r="AC38" s="40">
        <f t="shared" si="82"/>
        <v>-1.0814016178941828</v>
      </c>
      <c r="AD38" s="39">
        <f t="shared" si="83"/>
        <v>-1428.3653044747298</v>
      </c>
      <c r="AE38" s="40">
        <f t="shared" si="84"/>
        <v>-0.83317522384218412</v>
      </c>
    </row>
    <row r="39" spans="2:32" x14ac:dyDescent="0.2">
      <c r="B39" s="23"/>
      <c r="AC39" s="33"/>
      <c r="AE39" s="33"/>
    </row>
    <row r="40" spans="2:32" x14ac:dyDescent="0.2">
      <c r="B40" s="23" t="s">
        <v>64</v>
      </c>
      <c r="AC40" s="33"/>
      <c r="AE40" s="33"/>
    </row>
    <row r="41" spans="2:32" x14ac:dyDescent="0.2">
      <c r="B41" s="22" t="s">
        <v>65</v>
      </c>
      <c r="C41" s="31">
        <f>C32*1000/1464100000</f>
        <v>2.7768595041322314E-2</v>
      </c>
      <c r="D41" s="31">
        <f>D32*1000/1464100000</f>
        <v>4.1266989959702204E-2</v>
      </c>
      <c r="E41" s="31">
        <f t="shared" ref="E41:G41" si="93">E32*1000/1464100000</f>
        <v>2.1412471825694966E-2</v>
      </c>
      <c r="F41" s="31">
        <f t="shared" ref="F41" si="94">F32*1000/1464100000</f>
        <v>3.2012840652960867E-2</v>
      </c>
      <c r="G41" s="31">
        <f t="shared" si="93"/>
        <v>0.12246089747968035</v>
      </c>
      <c r="H41" s="31">
        <f t="shared" ref="H41:J42" si="95">H32*1000/1464100000</f>
        <v>3.1756155923969603E-2</v>
      </c>
      <c r="I41" s="31">
        <f t="shared" si="95"/>
        <v>3.0457235940857662E-2</v>
      </c>
      <c r="J41" s="31">
        <f t="shared" si="95"/>
        <v>2.5224520448297455E-2</v>
      </c>
      <c r="K41" s="31">
        <f t="shared" ref="K41:L41" si="96">K32*1000/1464100000</f>
        <v>2.2535450162116045E-2</v>
      </c>
      <c r="L41" s="31">
        <f t="shared" si="96"/>
        <v>0.10997336247524077</v>
      </c>
      <c r="M41" s="31">
        <f>M32*1000/1464100000</f>
        <v>1.65760535482549E-2</v>
      </c>
      <c r="N41" s="31">
        <f>N32*1000/1464100000</f>
        <v>1.3321668888472919E-2</v>
      </c>
      <c r="O41" s="31">
        <f>O32*1000/1464100000</f>
        <v>6.8128779092444846E-3</v>
      </c>
      <c r="P41" s="31">
        <f>P32*1000/1464100000</f>
        <v>5.2508514118721275E-2</v>
      </c>
      <c r="Q41" s="31">
        <f t="shared" ref="Q41:R41" si="97">Q32*1000/1464100000</f>
        <v>8.9219114464693577E-2</v>
      </c>
      <c r="R41" s="31">
        <f t="shared" si="97"/>
        <v>3.1998572222031021E-2</v>
      </c>
      <c r="S41" s="31">
        <f t="shared" ref="S41:T41" si="98">S32*1000/1464100000</f>
        <v>2.158665861238787E-3</v>
      </c>
      <c r="T41" s="31">
        <f t="shared" si="98"/>
        <v>1.8363424787076199E-2</v>
      </c>
      <c r="U41" s="31">
        <f t="shared" ref="U41" si="99">U32*1000/1464100000</f>
        <v>4.0008612932086782E-2</v>
      </c>
      <c r="V41" s="31">
        <f t="shared" ref="V41:W41" si="100">V32*1000/1464100000</f>
        <v>9.2529275802432781E-2</v>
      </c>
      <c r="W41" s="31">
        <f t="shared" si="100"/>
        <v>1.1695216029606189E-2</v>
      </c>
      <c r="X41" s="31">
        <f t="shared" ref="X41:Y41" si="101">X32*1000/1464100000</f>
        <v>-6.3310918345715877E-3</v>
      </c>
      <c r="Y41" s="31">
        <f t="shared" si="101"/>
        <v>3.5598961474200223E-3</v>
      </c>
      <c r="Z41" s="31">
        <f>Z32*1000/1464100000</f>
        <v>5.1338794413131059E-3</v>
      </c>
      <c r="AA41" s="31">
        <f t="shared" ref="AA41" si="102">AA32*1000/1464100000</f>
        <v>1.4057899789832027E-2</v>
      </c>
      <c r="AB41" s="31">
        <f t="shared" ref="AB41:AB42" si="103">Z41-U41</f>
        <v>-3.4874733490773677E-2</v>
      </c>
      <c r="AC41" s="32">
        <f t="shared" ref="AC41:AC42" si="104">AB41/U41</f>
        <v>-0.87168064411461388</v>
      </c>
      <c r="AD41" s="44">
        <f t="shared" ref="AD41:AD42" si="105">(AA41)-(V41)</f>
        <v>-7.8471376012600749E-2</v>
      </c>
      <c r="AE41" s="32">
        <f t="shared" ref="AE41:AE42" si="106">AD41/(V41)</f>
        <v>-0.84807078983468687</v>
      </c>
    </row>
    <row r="42" spans="2:32" x14ac:dyDescent="0.2">
      <c r="B42" s="22" t="s">
        <v>66</v>
      </c>
      <c r="C42" s="31">
        <f>C33*1000/1464100000</f>
        <v>3.6589030803906835E-3</v>
      </c>
      <c r="D42" s="31">
        <f>D33*1000/1464100000</f>
        <v>3.4471689092275119E-3</v>
      </c>
      <c r="E42" s="31">
        <f t="shared" ref="E42:G42" si="107">E33*1000/1464100000</f>
        <v>2.4906085649887302E-2</v>
      </c>
      <c r="F42" s="31">
        <f t="shared" ref="F42" si="108">F33*1000/1464100000</f>
        <v>-4.2551738269243903E-4</v>
      </c>
      <c r="G42" s="31">
        <f t="shared" si="107"/>
        <v>3.1586640256813056E-2</v>
      </c>
      <c r="H42" s="31">
        <f t="shared" si="95"/>
        <v>5.5194961822296635E-4</v>
      </c>
      <c r="I42" s="31">
        <f t="shared" si="95"/>
        <v>-1.6392346169290483E-5</v>
      </c>
      <c r="J42" s="31">
        <f t="shared" si="95"/>
        <v>1.8524954103541218E-3</v>
      </c>
      <c r="K42" s="31">
        <f t="shared" ref="K42:M42" si="109">K33*1000/1464100000</f>
        <v>5.9466707717146616E-4</v>
      </c>
      <c r="L42" s="31">
        <f t="shared" si="109"/>
        <v>2.9827197595792636E-3</v>
      </c>
      <c r="M42" s="31">
        <f t="shared" si="109"/>
        <v>-2.4588484393142543E-4</v>
      </c>
      <c r="N42" s="31">
        <f t="shared" ref="N42" si="110">N33*1000/1464100000</f>
        <v>-3.7133541346017965E-4</v>
      </c>
      <c r="O42" s="31">
        <f>O33*1000/1464100000</f>
        <v>-2.2774713721218084E-4</v>
      </c>
      <c r="P42" s="31">
        <f>P33*1000/1464100000</f>
        <v>-6.2687814835432057E-5</v>
      </c>
      <c r="Q42" s="31">
        <f t="shared" ref="Q42:R42" si="111">Q33*1000/1464100000</f>
        <v>-9.0765520943921797E-4</v>
      </c>
      <c r="R42" s="31">
        <f t="shared" si="111"/>
        <v>-1.941488801387922E-4</v>
      </c>
      <c r="S42" s="31">
        <f t="shared" ref="S42:T42" si="112">S33*1000/1464100000</f>
        <v>-1.8260572399015262E-4</v>
      </c>
      <c r="T42" s="261">
        <f t="shared" si="112"/>
        <v>-1.3711916669472944E-4</v>
      </c>
      <c r="U42" s="31">
        <f t="shared" ref="U42" si="113">U33*1000/1464100000</f>
        <v>4.8431299797654544E-3</v>
      </c>
      <c r="V42" s="31">
        <f t="shared" ref="V42:W42" si="114">V33*1000/1464100000</f>
        <v>4.3292562089417798E-3</v>
      </c>
      <c r="W42" s="31">
        <f t="shared" si="114"/>
        <v>0</v>
      </c>
      <c r="X42" s="31">
        <f t="shared" ref="X42:Y42" si="115">X33*1000/1464100000</f>
        <v>0</v>
      </c>
      <c r="Y42" s="31">
        <f t="shared" si="115"/>
        <v>0</v>
      </c>
      <c r="Z42" s="31">
        <f t="shared" ref="Z42:AA42" si="116">Z33*1000/1464100000</f>
        <v>0</v>
      </c>
      <c r="AA42" s="31">
        <f t="shared" si="116"/>
        <v>0</v>
      </c>
      <c r="AB42" s="31">
        <f t="shared" si="103"/>
        <v>-4.8431299797654544E-3</v>
      </c>
      <c r="AC42" s="32">
        <f t="shared" si="104"/>
        <v>-1</v>
      </c>
      <c r="AD42" s="44">
        <f t="shared" si="105"/>
        <v>-4.3292562089417798E-3</v>
      </c>
      <c r="AE42" s="32">
        <f t="shared" si="106"/>
        <v>-1</v>
      </c>
    </row>
  </sheetData>
  <mergeCells count="2">
    <mergeCell ref="AB5:AC5"/>
    <mergeCell ref="AD5:AE5"/>
  </mergeCells>
  <pageMargins left="0.7" right="0.7" top="0.75" bottom="0.75" header="0.3" footer="0.3"/>
  <pageSetup orientation="portrait" horizontalDpi="1200" verticalDpi="1200" r:id="rId1"/>
  <ignoredErrors>
    <ignoredError sqref="G6 L6 Q6 V6" numberStoredAsText="1"/>
    <ignoredError sqref="F10 K10 K21 K37 P10 U10 U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1968-C066-4BF5-942F-94C954F964D1}">
  <dimension ref="A1:V65"/>
  <sheetViews>
    <sheetView showGridLines="0" zoomScaleNormal="100" workbookViewId="0">
      <pane xSplit="2" ySplit="6" topLeftCell="L7" activePane="bottomRight" state="frozen"/>
      <selection pane="topRight" activeCell="B7" sqref="B7"/>
      <selection pane="bottomLeft" activeCell="B7" sqref="B7"/>
      <selection pane="bottomRight" activeCell="B4" sqref="B4"/>
    </sheetView>
  </sheetViews>
  <sheetFormatPr defaultColWidth="9.140625" defaultRowHeight="12.75" x14ac:dyDescent="0.2"/>
  <cols>
    <col min="1" max="1" width="5.7109375" style="20" customWidth="1"/>
    <col min="2" max="2" width="52.85546875" style="45" customWidth="1"/>
    <col min="3" max="13" width="9.85546875" style="20" bestFit="1" customWidth="1"/>
    <col min="14" max="14" width="10.42578125" style="20" bestFit="1" customWidth="1"/>
    <col min="15" max="17" width="9.85546875" style="20" customWidth="1"/>
    <col min="18" max="18" width="9.85546875" style="20" bestFit="1" customWidth="1"/>
    <col min="19" max="20" width="9.85546875" style="20" customWidth="1"/>
    <col min="21" max="22" width="9.85546875" style="20" bestFit="1" customWidth="1"/>
    <col min="23" max="16384" width="9.140625" style="20"/>
  </cols>
  <sheetData>
    <row r="1" spans="1:22" x14ac:dyDescent="0.2">
      <c r="A1" s="154">
        <f>'2025 IR Data Book'!$A$5</f>
        <v>1</v>
      </c>
    </row>
    <row r="2" spans="1:22" ht="15.75" x14ac:dyDescent="0.25">
      <c r="B2" s="265" t="s">
        <v>67</v>
      </c>
    </row>
    <row r="5" spans="1:22" ht="15" x14ac:dyDescent="0.25">
      <c r="B5" s="21" t="s">
        <v>68</v>
      </c>
      <c r="C5" s="160" t="s">
        <v>69</v>
      </c>
      <c r="D5" s="160" t="s">
        <v>70</v>
      </c>
      <c r="E5" s="160" t="s">
        <v>71</v>
      </c>
      <c r="F5" s="160" t="s">
        <v>72</v>
      </c>
      <c r="G5" s="160" t="s">
        <v>73</v>
      </c>
      <c r="H5" s="160" t="s">
        <v>74</v>
      </c>
      <c r="I5" s="160" t="s">
        <v>75</v>
      </c>
      <c r="J5" s="160" t="s">
        <v>76</v>
      </c>
      <c r="K5" s="160" t="s">
        <v>77</v>
      </c>
      <c r="L5" s="160" t="s">
        <v>78</v>
      </c>
      <c r="M5" s="160" t="s">
        <v>79</v>
      </c>
      <c r="N5" s="160" t="s">
        <v>80</v>
      </c>
      <c r="O5" s="160" t="s">
        <v>81</v>
      </c>
      <c r="P5" s="160" t="s">
        <v>82</v>
      </c>
      <c r="Q5" s="160" t="s">
        <v>83</v>
      </c>
      <c r="R5" s="160" t="s">
        <v>320</v>
      </c>
      <c r="S5" s="160" t="s">
        <v>326</v>
      </c>
      <c r="T5" s="160" t="s">
        <v>338</v>
      </c>
      <c r="U5" s="160" t="s">
        <v>344</v>
      </c>
      <c r="V5" s="160" t="s">
        <v>352</v>
      </c>
    </row>
    <row r="6" spans="1:22" ht="15" x14ac:dyDescent="0.25">
      <c r="B6" s="21" t="s">
        <v>84</v>
      </c>
    </row>
    <row r="7" spans="1:22" x14ac:dyDescent="0.2">
      <c r="B7" s="45" t="s">
        <v>85</v>
      </c>
      <c r="C7" s="28">
        <f>957925*('2025 IR Data Book'!$A$5)</f>
        <v>957925</v>
      </c>
      <c r="D7" s="28">
        <f>963437*('2025 IR Data Book'!$A$5)</f>
        <v>963437</v>
      </c>
      <c r="E7" s="28">
        <f>980472*('2025 IR Data Book'!$A$5)</f>
        <v>980472</v>
      </c>
      <c r="F7" s="28">
        <f>941430*('2025 IR Data Book'!$A$5)</f>
        <v>941430</v>
      </c>
      <c r="G7" s="28">
        <f>918236*('2025 IR Data Book'!$A$5)</f>
        <v>918236</v>
      </c>
      <c r="H7" s="28">
        <f>894104.544664551*('2025 IR Data Book'!$A$5)</f>
        <v>894104.54466455104</v>
      </c>
      <c r="I7" s="28">
        <f>866980.218712385*(('2025 IR Data Book'!$A$5))</f>
        <v>866980.21871238505</v>
      </c>
      <c r="J7" s="28">
        <f>883697*(('2025 IR Data Book'!$A$5))</f>
        <v>883697</v>
      </c>
      <c r="K7" s="28">
        <f>864981*(('2025 IR Data Book'!$A$5))</f>
        <v>864981</v>
      </c>
      <c r="L7" s="28">
        <f>878750.869404297*((('2025 IR Data Book'!$A$5)))</f>
        <v>878750.86940429697</v>
      </c>
      <c r="M7" s="28">
        <f>869050.485432705*((('2025 IR Data Book'!$A$5)))</f>
        <v>869050.48543270503</v>
      </c>
      <c r="N7" s="28">
        <f>'[7]B.S PJSC'!$C$10*((('2025 IR Data Book'!$A$5)))</f>
        <v>881142.12245780369</v>
      </c>
      <c r="O7" s="28">
        <f>'[8]B.S PJSC'!$C$10*((('2025 IR Data Book'!$A$5)))</f>
        <v>854716.60761358775</v>
      </c>
      <c r="P7" s="28">
        <f>'[9]B.S PJSC'!$C$10*((('2025 IR Data Book'!$A$5)))</f>
        <v>853787.12644458865</v>
      </c>
      <c r="Q7" s="28">
        <f>'[10]B.S PJSC'!$C$10*((('2025 IR Data Book'!$A$5)))</f>
        <v>852791.6565628238</v>
      </c>
      <c r="R7" s="28">
        <f>'[11]B.S PJSC'!$C$10*((('2025 IR Data Book'!$A$5)))</f>
        <v>853245.1054949658</v>
      </c>
      <c r="S7" s="28">
        <f>'[12]B.S PJSC'!$C$10*((('2025 IR Data Book'!$A$5)))</f>
        <v>873853.81659999676</v>
      </c>
      <c r="T7" s="28">
        <f>'[13]B.S PJSC'!$C$10*((('2025 IR Data Book'!$A$5)))</f>
        <v>888823.87421023671</v>
      </c>
      <c r="U7" s="28">
        <f>'[14]B.S PJSC'!$C$10*((('2025 IR Data Book'!$A$5)))</f>
        <v>891242.74752434471</v>
      </c>
      <c r="V7" s="28">
        <f>'[15]B.S PJSC'!$C$10*((('2025 IR Data Book'!$A$5)))</f>
        <v>892688.08184704103</v>
      </c>
    </row>
    <row r="8" spans="1:22" x14ac:dyDescent="0.2">
      <c r="B8" s="45" t="s">
        <v>86</v>
      </c>
      <c r="C8" s="28">
        <f>862334*('2025 IR Data Book'!$A$5)</f>
        <v>862334</v>
      </c>
      <c r="D8" s="28">
        <f>910988*('2025 IR Data Book'!$A$5)</f>
        <v>910988</v>
      </c>
      <c r="E8" s="28">
        <f>956865*('2025 IR Data Book'!$A$5)</f>
        <v>956865</v>
      </c>
      <c r="F8" s="28">
        <f>894266*('2025 IR Data Book'!$A$5)</f>
        <v>894266</v>
      </c>
      <c r="G8" s="28">
        <f>890902*('2025 IR Data Book'!$A$5)</f>
        <v>890902</v>
      </c>
      <c r="H8" s="28">
        <f>921554.993062863*('2025 IR Data Book'!$A$5)</f>
        <v>921554.99306286301</v>
      </c>
      <c r="I8" s="28">
        <f>894136.917651471*(('2025 IR Data Book'!$A$5))</f>
        <v>894136.91765147098</v>
      </c>
      <c r="J8" s="28">
        <f>860524*(('2025 IR Data Book'!$A$5))</f>
        <v>860524</v>
      </c>
      <c r="K8" s="28">
        <f>907905*(('2025 IR Data Book'!$A$5))</f>
        <v>907905</v>
      </c>
      <c r="L8" s="28">
        <f>880398.691638888*((('2025 IR Data Book'!$A$5)))</f>
        <v>880398.69163888798</v>
      </c>
      <c r="M8" s="28">
        <f>845349.934785601*((('2025 IR Data Book'!$A$5)))</f>
        <v>845349.93478560098</v>
      </c>
      <c r="N8" s="28">
        <f>'[7]B.S PJSC'!$C$11*((('2025 IR Data Book'!$A$5)))</f>
        <v>863981.79160646477</v>
      </c>
      <c r="O8" s="28">
        <f>'[8]B.S PJSC'!$C$11*((('2025 IR Data Book'!$A$5)))</f>
        <v>841861.61923992017</v>
      </c>
      <c r="P8" s="28">
        <f>'[9]B.S PJSC'!$C$11*((('2025 IR Data Book'!$A$5)))</f>
        <v>832344.34019118443</v>
      </c>
      <c r="Q8" s="28">
        <f>'[10]B.S PJSC'!$C$11*((('2025 IR Data Book'!$A$5)))</f>
        <v>840634.02236238483</v>
      </c>
      <c r="R8" s="28">
        <f>'[11]B.S PJSC'!$C$11*((('2025 IR Data Book'!$A$5)))</f>
        <v>838395.76038709737</v>
      </c>
      <c r="S8" s="28">
        <f>'[12]B.S PJSC'!$C$11*((('2025 IR Data Book'!$A$5)))</f>
        <v>816502.90200132912</v>
      </c>
      <c r="T8" s="28">
        <f>'[13]B.S PJSC'!$C$11*((('2025 IR Data Book'!$A$5)))</f>
        <v>799222.9866375624</v>
      </c>
      <c r="U8" s="28">
        <f>'[14]B.S PJSC'!$C$11*((('2025 IR Data Book'!$A$5)))</f>
        <v>838257.97227232484</v>
      </c>
      <c r="V8" s="28">
        <f>'[15]B.S PJSC'!$C$11*((('2025 IR Data Book'!$A$5)))</f>
        <v>890118.74290137191</v>
      </c>
    </row>
    <row r="9" spans="1:22" x14ac:dyDescent="0.2">
      <c r="B9" s="45" t="s">
        <v>87</v>
      </c>
      <c r="C9" s="28">
        <f>1135511*('2025 IR Data Book'!$A$5)</f>
        <v>1135511</v>
      </c>
      <c r="D9" s="28">
        <f>1140170*('2025 IR Data Book'!$A$5)</f>
        <v>1140170</v>
      </c>
      <c r="E9" s="28">
        <f>1031265*('2025 IR Data Book'!$A$5)</f>
        <v>1031265</v>
      </c>
      <c r="F9" s="28">
        <f>1002568*('2025 IR Data Book'!$A$5)</f>
        <v>1002568</v>
      </c>
      <c r="G9" s="28">
        <f>1002568*('2025 IR Data Book'!$A$5)</f>
        <v>1002568</v>
      </c>
      <c r="H9" s="28">
        <f>1002568.07593687*('2025 IR Data Book'!$A$5)</f>
        <v>1002568.07593687</v>
      </c>
      <c r="I9" s="28">
        <f>1002568.07589721*(('2025 IR Data Book'!$A$5))</f>
        <v>1002568.07589721</v>
      </c>
      <c r="J9" s="28">
        <f>1757680*(('2025 IR Data Book'!$A$5))</f>
        <v>1757680</v>
      </c>
      <c r="K9" s="28">
        <f>1757680*(('2025 IR Data Book'!$A$5))</f>
        <v>1757680</v>
      </c>
      <c r="L9" s="28">
        <f>1757680.00004428*((('2025 IR Data Book'!$A$5)))</f>
        <v>1757680.00004428</v>
      </c>
      <c r="M9" s="28">
        <f>1756731.00422396*((('2025 IR Data Book'!$A$5)))</f>
        <v>1756731.00422396</v>
      </c>
      <c r="N9" s="28">
        <f>'[7]B.S PJSC'!$C$12*((('2025 IR Data Book'!$A$5)))</f>
        <v>1750190.7033648121</v>
      </c>
      <c r="O9" s="28">
        <f>'[8]B.S PJSC'!$C$12*((('2025 IR Data Book'!$A$5)))</f>
        <v>1771401.8137398167</v>
      </c>
      <c r="P9" s="28">
        <f>'[9]B.S PJSC'!$C$12*((('2025 IR Data Book'!$A$5)))</f>
        <v>1771401.8137682467</v>
      </c>
      <c r="Q9" s="28">
        <f>'[10]B.S PJSC'!$C$12*((('2025 IR Data Book'!$A$5)))</f>
        <v>1771401.8135929287</v>
      </c>
      <c r="R9" s="28">
        <f>'[11]B.S PJSC'!$C$12*((('2025 IR Data Book'!$A$5)))</f>
        <v>1730496.887382943</v>
      </c>
      <c r="S9" s="28">
        <f>'[12]B.S PJSC'!$C$12*((('2025 IR Data Book'!$A$5)))</f>
        <v>1728235.5148254747</v>
      </c>
      <c r="T9" s="28">
        <f>'[13]B.S PJSC'!$C$12*((('2025 IR Data Book'!$A$5)))</f>
        <v>1728267.1447259374</v>
      </c>
      <c r="U9" s="28">
        <f>'[14]B.S PJSC'!$C$12*((('2025 IR Data Book'!$A$5)))</f>
        <v>1728267.1446306873</v>
      </c>
      <c r="V9" s="28">
        <f>'[15]B.S PJSC'!$C$12*((('2025 IR Data Book'!$A$5)))</f>
        <v>1754255.8030448367</v>
      </c>
    </row>
    <row r="10" spans="1:22" x14ac:dyDescent="0.2">
      <c r="B10" s="45" t="s">
        <v>88</v>
      </c>
      <c r="C10" s="28">
        <f>214565*('2025 IR Data Book'!$A$5)</f>
        <v>214565</v>
      </c>
      <c r="D10" s="28">
        <f>212727*('2025 IR Data Book'!$A$5)</f>
        <v>212727</v>
      </c>
      <c r="E10" s="28">
        <f>212034*('2025 IR Data Book'!$A$5)</f>
        <v>212034</v>
      </c>
      <c r="F10" s="28">
        <f>201255*('2025 IR Data Book'!$A$5)</f>
        <v>201255</v>
      </c>
      <c r="G10" s="28">
        <f>200563*('2025 IR Data Book'!$A$5)</f>
        <v>200563</v>
      </c>
      <c r="H10" s="28">
        <f>199872.416294696*('2025 IR Data Book'!$A$5)</f>
        <v>199872.41629469601</v>
      </c>
      <c r="I10" s="28">
        <f>199184.256569187*(('2025 IR Data Book'!$A$5))</f>
        <v>199184.25656918701</v>
      </c>
      <c r="J10" s="28">
        <f>324362*(('2025 IR Data Book'!$A$5))</f>
        <v>324362</v>
      </c>
      <c r="K10" s="28">
        <f>320964*(('2025 IR Data Book'!$A$5))</f>
        <v>320964</v>
      </c>
      <c r="L10" s="28">
        <f>317576.786571321*((('2025 IR Data Book'!$A$5)))</f>
        <v>317576.78657132102</v>
      </c>
      <c r="M10" s="28">
        <f>314191.995845834*((('2025 IR Data Book'!$A$5)))</f>
        <v>314191.99584583403</v>
      </c>
      <c r="N10" s="28">
        <f>'[7]B.S PJSC'!$C$13*((('2025 IR Data Book'!$A$5)))</f>
        <v>309935.02390400699</v>
      </c>
      <c r="O10" s="28">
        <f>'[8]B.S PJSC'!$C$13*((('2025 IR Data Book'!$A$5)))</f>
        <v>313626.15449613071</v>
      </c>
      <c r="P10" s="28">
        <f>'[9]B.S PJSC'!$C$13*((('2025 IR Data Book'!$A$5)))</f>
        <v>310086.5410460268</v>
      </c>
      <c r="Q10" s="28">
        <f>'[10]B.S PJSC'!$C$13*((('2025 IR Data Book'!$A$5)))</f>
        <v>306546.75346327433</v>
      </c>
      <c r="R10" s="28">
        <f>'[11]B.S PJSC'!$C$13*((('2025 IR Data Book'!$A$5)))</f>
        <v>299304.61061708134</v>
      </c>
      <c r="S10" s="28">
        <f>'[12]B.S PJSC'!$C$13*((('2025 IR Data Book'!$A$5)))</f>
        <v>297999.12424915435</v>
      </c>
      <c r="T10" s="28">
        <f>'[13]B.S PJSC'!$C$13*((('2025 IR Data Book'!$A$5)))</f>
        <v>294373.58594394696</v>
      </c>
      <c r="U10" s="28">
        <f>'[14]B.S PJSC'!$C$13*((('2025 IR Data Book'!$A$5)))</f>
        <v>290822.51017485751</v>
      </c>
      <c r="V10" s="28">
        <f>'[15]B.S PJSC'!$C$13*((('2025 IR Data Book'!$A$5)))</f>
        <v>294694.33176294487</v>
      </c>
    </row>
    <row r="11" spans="1:22" x14ac:dyDescent="0.2">
      <c r="B11" s="45" t="s">
        <v>89</v>
      </c>
      <c r="C11" s="28">
        <f>37815*('2025 IR Data Book'!$A$5)</f>
        <v>37815</v>
      </c>
      <c r="D11" s="28">
        <f>42848*('2025 IR Data Book'!$A$5)</f>
        <v>42848</v>
      </c>
      <c r="E11" s="28">
        <f>35984*('2025 IR Data Book'!$A$5)</f>
        <v>35984</v>
      </c>
      <c r="F11" s="28">
        <f>37448.2731596125*('2025 IR Data Book'!$A$5)</f>
        <v>37448.273159612501</v>
      </c>
      <c r="G11" s="28">
        <f>40904*('2025 IR Data Book'!$A$5)</f>
        <v>40904</v>
      </c>
      <c r="H11" s="28">
        <f>34374.6759942848*('2025 IR Data Book'!$A$5)</f>
        <v>34374.6759942848</v>
      </c>
      <c r="I11" s="28">
        <f>33022.3487900181*(('2025 IR Data Book'!$A$5))</f>
        <v>33022.348790018099</v>
      </c>
      <c r="J11" s="28">
        <f>24961*(('2025 IR Data Book'!$A$5))</f>
        <v>24961</v>
      </c>
      <c r="K11" s="28">
        <f>25531*(('2025 IR Data Book'!$A$5))</f>
        <v>25531</v>
      </c>
      <c r="L11" s="28">
        <f>36927.6476736312*((('2025 IR Data Book'!$A$5)))</f>
        <v>36927.647673631203</v>
      </c>
      <c r="M11" s="28">
        <f>38561.8412386319*((('2025 IR Data Book'!$A$5)))</f>
        <v>38561.841238631903</v>
      </c>
      <c r="N11" s="28">
        <f>'[7]B.S PJSC'!$C$14*((('2025 IR Data Book'!$A$5)))</f>
        <v>35006.683160751934</v>
      </c>
      <c r="O11" s="28">
        <f>'[8]B.S PJSC'!$C$14*((('2025 IR Data Book'!$A$5)))</f>
        <v>35054.875617855971</v>
      </c>
      <c r="P11" s="28">
        <f>'[9]B.S PJSC'!$C$14*((('2025 IR Data Book'!$A$5)))</f>
        <v>35113.130490044838</v>
      </c>
      <c r="Q11" s="28">
        <f>'[10]B.S PJSC'!$C$14*((('2025 IR Data Book'!$A$5)))</f>
        <v>35505.982447594004</v>
      </c>
      <c r="R11" s="28">
        <f>'[11]B.S PJSC'!$C$14*((('2025 IR Data Book'!$A$5)))</f>
        <v>31417.471050772714</v>
      </c>
      <c r="S11" s="28">
        <f>'[12]B.S PJSC'!$C$14*((('2025 IR Data Book'!$A$5)))</f>
        <v>31657.910526160045</v>
      </c>
      <c r="T11" s="28">
        <f>'[13]B.S PJSC'!$C$14*((('2025 IR Data Book'!$A$5)))</f>
        <v>30948.073801050308</v>
      </c>
      <c r="U11" s="28">
        <f>'[14]B.S PJSC'!$C$14*((('2025 IR Data Book'!$A$5)))</f>
        <v>29446.40158819994</v>
      </c>
      <c r="V11" s="28">
        <f>'[15]B.S PJSC'!$C$14*((('2025 IR Data Book'!$A$5)))</f>
        <v>27213.617385190057</v>
      </c>
    </row>
    <row r="12" spans="1:22" ht="12.95" customHeight="1" x14ac:dyDescent="0.2">
      <c r="B12" s="266" t="s">
        <v>90</v>
      </c>
      <c r="C12" s="28">
        <f>23546*('2025 IR Data Book'!$A$5)</f>
        <v>23546</v>
      </c>
      <c r="D12" s="28">
        <f>23522*('2025 IR Data Book'!$A$5)</f>
        <v>23522</v>
      </c>
      <c r="E12" s="28">
        <f>17244*('2025 IR Data Book'!$A$5)</f>
        <v>17244</v>
      </c>
      <c r="F12" s="28">
        <f>17638*('2025 IR Data Book'!$A$5)</f>
        <v>17638</v>
      </c>
      <c r="G12" s="28">
        <f>17772*('2025 IR Data Book'!$A$5)</f>
        <v>17772</v>
      </c>
      <c r="H12" s="28">
        <f>17613.6880596444*('2025 IR Data Book'!$A$5)</f>
        <v>17613.688059644399</v>
      </c>
      <c r="I12" s="28">
        <f>17566.1948018073*(('2025 IR Data Book'!$A$5))</f>
        <v>17566.194801807302</v>
      </c>
      <c r="J12" s="28">
        <f>17667*(('2025 IR Data Book'!$A$5))</f>
        <v>17667</v>
      </c>
      <c r="K12" s="28">
        <f>17659*(('2025 IR Data Book'!$A$5))</f>
        <v>17659</v>
      </c>
      <c r="L12" s="28">
        <f>17647.0119707624*((('2025 IR Data Book'!$A$5)))</f>
        <v>17647.0119707624</v>
      </c>
      <c r="M12" s="28">
        <f>17556.1799535027*((('2025 IR Data Book'!$A$5)))</f>
        <v>17556.179953502698</v>
      </c>
      <c r="N12" s="28">
        <f>'[7]B.S PJSC'!$C$15*((('2025 IR Data Book'!$A$5)))</f>
        <v>17574.192445400557</v>
      </c>
      <c r="O12" s="28">
        <f>'[8]B.S PJSC'!$C$15*((('2025 IR Data Book'!$A$5)))</f>
        <v>17749.859830927981</v>
      </c>
      <c r="P12" s="28">
        <f>'[9]B.S PJSC'!$C$15*((('2025 IR Data Book'!$A$5)))</f>
        <v>17897.547894905329</v>
      </c>
      <c r="Q12" s="28">
        <f>'[10]B.S PJSC'!$C$15*((('2025 IR Data Book'!$A$5)))</f>
        <v>18008.006031006527</v>
      </c>
      <c r="R12" s="28">
        <f>'[11]B.S PJSC'!$C$15*((('2025 IR Data Book'!$A$5)))</f>
        <v>17975.092496975638</v>
      </c>
      <c r="S12" s="28">
        <f>'[12]B.S PJSC'!$C$15*((('2025 IR Data Book'!$A$5)))</f>
        <v>18622.13545757097</v>
      </c>
      <c r="T12" s="28">
        <f>'[13]B.S PJSC'!$C$15*((('2025 IR Data Book'!$A$5)))</f>
        <v>18470.422128077596</v>
      </c>
      <c r="U12" s="28">
        <f>'[14]B.S PJSC'!$C$15*((('2025 IR Data Book'!$A$5)))</f>
        <v>4637.0455426036788</v>
      </c>
      <c r="V12" s="28">
        <f>'[15]B.S PJSC'!$C$15*((('2025 IR Data Book'!$A$5)))</f>
        <v>4834.9127219167094</v>
      </c>
    </row>
    <row r="13" spans="1:22" x14ac:dyDescent="0.2">
      <c r="B13" s="266" t="s">
        <v>91</v>
      </c>
      <c r="C13" s="28">
        <f>7588*('2025 IR Data Book'!$A$5)</f>
        <v>7588</v>
      </c>
      <c r="D13" s="28">
        <f>7601*('2025 IR Data Book'!$A$5)</f>
        <v>7601</v>
      </c>
      <c r="E13" s="28">
        <f>7275*('2025 IR Data Book'!$A$5)</f>
        <v>7275</v>
      </c>
      <c r="F13" s="28">
        <f>8006*('2025 IR Data Book'!$A$5)</f>
        <v>8006</v>
      </c>
      <c r="G13" s="28">
        <f>7971*('2025 IR Data Book'!$A$5)</f>
        <v>7971</v>
      </c>
      <c r="H13" s="28">
        <f>21150.4841613572*('2025 IR Data Book'!$A$5)</f>
        <v>21150.484161357199</v>
      </c>
      <c r="I13" s="28">
        <f>21022.0845693825*(('2025 IR Data Book'!$A$5))</f>
        <v>21022.084569382499</v>
      </c>
      <c r="J13" s="28">
        <f>28135*(('2025 IR Data Book'!$A$5))</f>
        <v>28135</v>
      </c>
      <c r="K13" s="28">
        <f>27859*(('2025 IR Data Book'!$A$5))</f>
        <v>27859</v>
      </c>
      <c r="L13" s="28">
        <f>26361.7873087616*((('2025 IR Data Book'!$A$5)))</f>
        <v>26361.787308761599</v>
      </c>
      <c r="M13" s="28">
        <f>24237.1408733341*((('2025 IR Data Book'!$A$5)))</f>
        <v>24237.140873334101</v>
      </c>
      <c r="N13" s="28">
        <f>'[7]B.S PJSC'!$C$16*((('2025 IR Data Book'!$A$5)))</f>
        <v>26109.599514391179</v>
      </c>
      <c r="O13" s="28">
        <f>'[8]B.S PJSC'!$C$16*((('2025 IR Data Book'!$A$5)))</f>
        <v>28814.956686400667</v>
      </c>
      <c r="P13" s="28">
        <f>'[9]B.S PJSC'!$C$16*((('2025 IR Data Book'!$A$5)))</f>
        <v>30410.142010669315</v>
      </c>
      <c r="Q13" s="28">
        <f>'[10]B.S PJSC'!$C$16*((('2025 IR Data Book'!$A$5)))</f>
        <v>32688.948351135248</v>
      </c>
      <c r="R13" s="28">
        <f>'[11]B.S PJSC'!$C$16*((('2025 IR Data Book'!$A$5)))</f>
        <v>33350.979507578733</v>
      </c>
      <c r="S13" s="28">
        <f>'[12]B.S PJSC'!$C$16*((('2025 IR Data Book'!$A$5)))</f>
        <v>36007.600318093362</v>
      </c>
      <c r="T13" s="28">
        <f>'[13]B.S PJSC'!$C$16*((('2025 IR Data Book'!$A$5)))</f>
        <v>40989.313947550654</v>
      </c>
      <c r="U13" s="28">
        <f>'[14]B.S PJSC'!$C$16*((('2025 IR Data Book'!$A$5)))</f>
        <v>43470.517715329916</v>
      </c>
      <c r="V13" s="28">
        <f>'[15]B.S PJSC'!$C$16*((('2025 IR Data Book'!$A$5)))</f>
        <v>44609.371950641507</v>
      </c>
    </row>
    <row r="14" spans="1:22" x14ac:dyDescent="0.2">
      <c r="B14" s="45" t="s">
        <v>92</v>
      </c>
      <c r="C14" s="28">
        <f>4572*('2025 IR Data Book'!$A$5)</f>
        <v>4572</v>
      </c>
      <c r="D14" s="28">
        <f>3834*('2025 IR Data Book'!$A$5)</f>
        <v>3834</v>
      </c>
      <c r="E14" s="28">
        <f>3700*('2025 IR Data Book'!$A$5)</f>
        <v>3700</v>
      </c>
      <c r="F14" s="28">
        <f>4115*('2025 IR Data Book'!$A$5)</f>
        <v>4115</v>
      </c>
      <c r="G14" s="28">
        <f>4099*('2025 IR Data Book'!$A$5)</f>
        <v>4099</v>
      </c>
      <c r="H14" s="28">
        <f>3531.41643549816*('2025 IR Data Book'!$A$5)</f>
        <v>3531.4164354981599</v>
      </c>
      <c r="I14" s="28">
        <f>3394.74308190623*(('2025 IR Data Book'!$A$5))</f>
        <v>3394.7430819062301</v>
      </c>
      <c r="J14" s="28">
        <f>5912*(('2025 IR Data Book'!$A$5))</f>
        <v>5912</v>
      </c>
      <c r="K14" s="28">
        <f>5536*(('2025 IR Data Book'!$A$5))</f>
        <v>5536</v>
      </c>
      <c r="L14" s="28">
        <f>5808.94293753516*((('2025 IR Data Book'!$A$5)))</f>
        <v>5808.9429375351601</v>
      </c>
      <c r="M14" s="28">
        <f>6797.86432861108*((('2025 IR Data Book'!$A$5)))</f>
        <v>6797.8643286110801</v>
      </c>
      <c r="N14" s="28">
        <f>'[7]B.S PJSC'!$C$17*((('2025 IR Data Book'!$A$5)))</f>
        <v>7019.0151633756832</v>
      </c>
      <c r="O14" s="28">
        <f>'[8]B.S PJSC'!$C$17*((('2025 IR Data Book'!$A$5)))</f>
        <v>10829.374651192376</v>
      </c>
      <c r="P14" s="28">
        <f>'[9]B.S PJSC'!$C$17*((('2025 IR Data Book'!$A$5)))</f>
        <v>10535.385686552721</v>
      </c>
      <c r="Q14" s="28">
        <f>'[10]B.S PJSC'!$C$17*((('2025 IR Data Book'!$A$5)))</f>
        <v>18400.770085596265</v>
      </c>
      <c r="R14" s="28">
        <f>'[11]B.S PJSC'!$C$17*((('2025 IR Data Book'!$A$5)))</f>
        <v>13428.787152175995</v>
      </c>
      <c r="S14" s="28">
        <f>'[12]B.S PJSC'!$C$17*((('2025 IR Data Book'!$A$5)))</f>
        <v>13846.712871695892</v>
      </c>
      <c r="T14" s="28">
        <f>'[13]B.S PJSC'!$C$17*((('2025 IR Data Book'!$A$5)))</f>
        <v>14184.444572132852</v>
      </c>
      <c r="U14" s="28">
        <f>'[14]B.S PJSC'!$C$17*((('2025 IR Data Book'!$A$5)))</f>
        <v>13483.513096283263</v>
      </c>
      <c r="V14" s="28">
        <f>'[15]B.S PJSC'!$C$17*((('2025 IR Data Book'!$A$5)))</f>
        <v>12273.535754010651</v>
      </c>
    </row>
    <row r="15" spans="1:22" ht="15.75" thickBot="1" x14ac:dyDescent="0.3">
      <c r="C15" s="41">
        <f t="shared" ref="C15:E15" si="0">SUM(C7:C14)</f>
        <v>3243856</v>
      </c>
      <c r="D15" s="41">
        <f t="shared" si="0"/>
        <v>3305127</v>
      </c>
      <c r="E15" s="41">
        <f t="shared" si="0"/>
        <v>3244839</v>
      </c>
      <c r="F15" s="41">
        <f t="shared" ref="F15:K15" si="1">SUM(F7:F14)</f>
        <v>3106726.2731596124</v>
      </c>
      <c r="G15" s="41">
        <f t="shared" si="1"/>
        <v>3083015</v>
      </c>
      <c r="H15" s="41">
        <f t="shared" si="1"/>
        <v>3094770.2946097651</v>
      </c>
      <c r="I15" s="41">
        <f t="shared" si="1"/>
        <v>3037874.8400733671</v>
      </c>
      <c r="J15" s="41">
        <f t="shared" si="1"/>
        <v>3902938</v>
      </c>
      <c r="K15" s="41">
        <f t="shared" si="1"/>
        <v>3928115</v>
      </c>
      <c r="L15" s="41">
        <f t="shared" ref="L15:M15" si="2">SUM(L7:L14)</f>
        <v>3921151.7375494763</v>
      </c>
      <c r="M15" s="41">
        <f t="shared" si="2"/>
        <v>3872476.4466821793</v>
      </c>
      <c r="N15" s="41">
        <f t="shared" ref="N15:O15" si="3">SUM(N7:N14)</f>
        <v>3890959.1316170068</v>
      </c>
      <c r="O15" s="41">
        <f t="shared" si="3"/>
        <v>3874055.2618758325</v>
      </c>
      <c r="P15" s="41">
        <f t="shared" ref="P15:Q15" si="4">SUM(P7:P14)</f>
        <v>3861576.0275322185</v>
      </c>
      <c r="Q15" s="41">
        <f t="shared" si="4"/>
        <v>3875977.952896744</v>
      </c>
      <c r="R15" s="41">
        <f t="shared" ref="R15:S15" si="5">SUM(R7:R14)</f>
        <v>3817614.6940895906</v>
      </c>
      <c r="S15" s="41">
        <f t="shared" si="5"/>
        <v>3816725.7168494756</v>
      </c>
      <c r="T15" s="41">
        <f t="shared" ref="T15:U15" si="6">SUM(T7:T14)</f>
        <v>3815279.8459664951</v>
      </c>
      <c r="U15" s="41">
        <f t="shared" si="6"/>
        <v>3839627.8525446313</v>
      </c>
      <c r="V15" s="41">
        <f t="shared" ref="V15" si="7">SUM(V7:V14)</f>
        <v>3920688.3973679529</v>
      </c>
    </row>
    <row r="16" spans="1:22" ht="15" x14ac:dyDescent="0.25">
      <c r="B16" s="21" t="s">
        <v>93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2:22" x14ac:dyDescent="0.2">
      <c r="B17" s="45" t="s">
        <v>94</v>
      </c>
      <c r="C17" s="28">
        <f>1072585*('2025 IR Data Book'!$A$5)</f>
        <v>1072585</v>
      </c>
      <c r="D17" s="28">
        <f>1142044*('2025 IR Data Book'!$A$5)</f>
        <v>1142044</v>
      </c>
      <c r="E17" s="28">
        <f>1076168*('2025 IR Data Book'!$A$5)</f>
        <v>1076168</v>
      </c>
      <c r="F17" s="28">
        <f>1219422*('2025 IR Data Book'!$A$5)</f>
        <v>1219422</v>
      </c>
      <c r="G17" s="28">
        <f>1164185*('2025 IR Data Book'!$A$5)</f>
        <v>1164185</v>
      </c>
      <c r="H17" s="28">
        <f>1144011.21590874*('2025 IR Data Book'!$A$5)</f>
        <v>1144011.2159087399</v>
      </c>
      <c r="I17" s="28">
        <f>1095736.37086374*(('2025 IR Data Book'!$A$5))</f>
        <v>1095736.3708637401</v>
      </c>
      <c r="J17" s="28">
        <f>1130410*(('2025 IR Data Book'!$A$5))</f>
        <v>1130410</v>
      </c>
      <c r="K17" s="28">
        <f>1113713*(('2025 IR Data Book'!$A$5))</f>
        <v>1113713</v>
      </c>
      <c r="L17" s="28">
        <f>1085002.77513823*((('2025 IR Data Book'!$A$5)))</f>
        <v>1085002.7751382301</v>
      </c>
      <c r="M17" s="28">
        <f>979894.296685645*((('2025 IR Data Book'!$A$5)))</f>
        <v>979894.29668564501</v>
      </c>
      <c r="N17" s="28">
        <f>'[7]B.S PJSC'!$C$21*((('2025 IR Data Book'!$A$5)))</f>
        <v>1090467.8744692479</v>
      </c>
      <c r="O17" s="28">
        <f>'[8]B.S PJSC'!$C$21*((('2025 IR Data Book'!$A$5)))</f>
        <v>1063943.4819076052</v>
      </c>
      <c r="P17" s="28">
        <f>'[9]B.S PJSC'!$C$21*((('2025 IR Data Book'!$A$5)))</f>
        <v>1018068.6071437825</v>
      </c>
      <c r="Q17" s="28">
        <f>'[10]B.S PJSC'!$C$21*((('2025 IR Data Book'!$A$5)))</f>
        <v>1047684.8942224793</v>
      </c>
      <c r="R17" s="28">
        <f>'[11]B.S PJSC'!$C$21*((('2025 IR Data Book'!$A$5)))</f>
        <v>1104844.0773182346</v>
      </c>
      <c r="S17" s="28">
        <f>'[12]B.S PJSC'!$C$21*((('2025 IR Data Book'!$A$5)))</f>
        <v>1124317.401731947</v>
      </c>
      <c r="T17" s="28">
        <f>'[13]B.S PJSC'!$C$21*((('2025 IR Data Book'!$A$5)))</f>
        <v>1044260.2034827835</v>
      </c>
      <c r="U17" s="28">
        <f>'[14]B.S PJSC'!$C$21*((('2025 IR Data Book'!$A$5)))</f>
        <v>1064245.1293131951</v>
      </c>
      <c r="V17" s="28">
        <f>'[15]B.S PJSC'!$C$21*((('2025 IR Data Book'!$A$5)))</f>
        <v>1109344.3947694914</v>
      </c>
    </row>
    <row r="18" spans="2:22" x14ac:dyDescent="0.2">
      <c r="B18" s="45" t="s">
        <v>95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>
        <f>'[9]B.S PJSC'!$C$22*((('2025 IR Data Book'!$A$5)))</f>
        <v>2889.3856741184482</v>
      </c>
      <c r="Q18" s="28">
        <f>'[10]B.S PJSC'!$C$22*((('2025 IR Data Book'!$A$5)))</f>
        <v>2858.5898355888344</v>
      </c>
      <c r="R18" s="28">
        <f>'[11]B.S PJSC'!$C$22*((('2025 IR Data Book'!$A$5)))</f>
        <v>2928.6667436895827</v>
      </c>
      <c r="S18" s="28">
        <f>'[12]B.S PJSC'!$C$22*((('2025 IR Data Book'!$A$5)))</f>
        <v>0</v>
      </c>
      <c r="T18" s="28">
        <f>'[13]B.S PJSC'!$C$22*((('2025 IR Data Book'!$A$5)))</f>
        <v>0</v>
      </c>
      <c r="U18" s="28">
        <f>'[14]B.S PJSC'!$C$22*((('2025 IR Data Book'!$A$5)))</f>
        <v>2271.6288534240975</v>
      </c>
      <c r="V18" s="28">
        <f>'[15]B.S PJSC'!$C$22*((('2025 IR Data Book'!$A$5)))</f>
        <v>0</v>
      </c>
    </row>
    <row r="19" spans="2:22" x14ac:dyDescent="0.2">
      <c r="B19" s="45" t="s">
        <v>96</v>
      </c>
      <c r="C19" s="28">
        <f>296178*('2025 IR Data Book'!$A$5)</f>
        <v>296178</v>
      </c>
      <c r="D19" s="28">
        <f>305444*('2025 IR Data Book'!$A$5)</f>
        <v>305444</v>
      </c>
      <c r="E19" s="28">
        <f>353365*('2025 IR Data Book'!$A$5)</f>
        <v>353365</v>
      </c>
      <c r="F19" s="28">
        <f>293709*('2025 IR Data Book'!$A$5)</f>
        <v>293709</v>
      </c>
      <c r="G19" s="28">
        <f>310784*('2025 IR Data Book'!$A$5)</f>
        <v>310784</v>
      </c>
      <c r="H19" s="28">
        <f>312682.133407311*('2025 IR Data Book'!$A$5)</f>
        <v>312682.13340731099</v>
      </c>
      <c r="I19" s="28">
        <f>270662.67988231*(('2025 IR Data Book'!$A$5))</f>
        <v>270662.67988230998</v>
      </c>
      <c r="J19" s="28">
        <f>284150*(('2025 IR Data Book'!$A$5))</f>
        <v>284150</v>
      </c>
      <c r="K19" s="28">
        <f>271031*(('2025 IR Data Book'!$A$5))</f>
        <v>271031</v>
      </c>
      <c r="L19" s="28">
        <f>267830.967387719*((('2025 IR Data Book'!$A$5)))</f>
        <v>267830.96738771902</v>
      </c>
      <c r="M19" s="28">
        <f>248574.158696011*((('2025 IR Data Book'!$A$5)))</f>
        <v>248574.158696011</v>
      </c>
      <c r="N19" s="28">
        <f>'[7]B.S PJSC'!$C$22*((('2025 IR Data Book'!$A$5)))</f>
        <v>266303.68496322649</v>
      </c>
      <c r="O19" s="28">
        <f>'[8]B.S PJSC'!$C$22*((('2025 IR Data Book'!$A$5)))</f>
        <v>287727.6830909726</v>
      </c>
      <c r="P19" s="28">
        <f>'[9]B.S PJSC'!$C$23*((('2025 IR Data Book'!$A$5)))</f>
        <v>307994.73968162382</v>
      </c>
      <c r="Q19" s="28">
        <f>'[10]B.S PJSC'!$C$23*((('2025 IR Data Book'!$A$5)))</f>
        <v>326596.87552883226</v>
      </c>
      <c r="R19" s="28">
        <f>'[11]B.S PJSC'!$C$23*((('2025 IR Data Book'!$A$5)))</f>
        <v>287503.12552904233</v>
      </c>
      <c r="S19" s="28">
        <f>'[12]B.S PJSC'!$C$23*((('2025 IR Data Book'!$A$5)))</f>
        <v>323435.86698588135</v>
      </c>
      <c r="T19" s="28">
        <f>'[13]B.S PJSC'!$C$23*((('2025 IR Data Book'!$A$5)))</f>
        <v>326739.87277869502</v>
      </c>
      <c r="U19" s="28">
        <f>'[14]B.S PJSC'!$C$23*((('2025 IR Data Book'!$A$5)))</f>
        <v>306752.12758251687</v>
      </c>
      <c r="V19" s="28">
        <f>'[15]B.S PJSC'!$C$23*((('2025 IR Data Book'!$A$5)))</f>
        <v>293705.73628095462</v>
      </c>
    </row>
    <row r="20" spans="2:22" x14ac:dyDescent="0.2">
      <c r="B20" s="45" t="s">
        <v>97</v>
      </c>
      <c r="C20" s="28">
        <f>251949*('2025 IR Data Book'!$A$5)</f>
        <v>251949</v>
      </c>
      <c r="D20" s="28">
        <f>61854*('2025 IR Data Book'!$A$5)</f>
        <v>61854</v>
      </c>
      <c r="E20" s="28">
        <f>372533*('2025 IR Data Book'!$A$5)</f>
        <v>372533</v>
      </c>
      <c r="F20" s="28">
        <f>57641*('2025 IR Data Book'!$A$5)</f>
        <v>57641</v>
      </c>
      <c r="G20" s="28">
        <f>57972*('2025 IR Data Book'!$A$5)</f>
        <v>57972</v>
      </c>
      <c r="H20" s="28">
        <f>10502.4383133088*('2025 IR Data Book'!$A$5)</f>
        <v>10502.438313308799</v>
      </c>
      <c r="I20" s="28">
        <f>10683.5332031424*(('2025 IR Data Book'!$A$5))</f>
        <v>10683.5332031424</v>
      </c>
      <c r="J20" s="28">
        <f>9488*(('2025 IR Data Book'!$A$5))</f>
        <v>9488</v>
      </c>
      <c r="K20" s="28">
        <f>9612*(('2025 IR Data Book'!$A$5))</f>
        <v>9612</v>
      </c>
      <c r="L20" s="28">
        <f>9494.27456452583*((('2025 IR Data Book'!$A$5)))</f>
        <v>9494.2745645258292</v>
      </c>
      <c r="M20" s="28">
        <f>7657.8972839579*((('2025 IR Data Book'!$A$5)))</f>
        <v>7657.8972839579001</v>
      </c>
      <c r="N20" s="28">
        <f>'[7]B.S PJSC'!$C$23*((('2025 IR Data Book'!$A$5)))</f>
        <v>8021.0490463693286</v>
      </c>
      <c r="O20" s="28">
        <f>'[8]B.S PJSC'!$C$23*((('2025 IR Data Book'!$A$5)))</f>
        <v>7726.3949177156719</v>
      </c>
      <c r="P20" s="28">
        <f>'[9]B.S PJSC'!$C$24*((('2025 IR Data Book'!$A$5)))</f>
        <v>7790.6964969079545</v>
      </c>
      <c r="Q20" s="28">
        <f>'[10]B.S PJSC'!$C$24*((('2025 IR Data Book'!$A$5)))</f>
        <v>6349.2719485399921</v>
      </c>
      <c r="R20" s="28">
        <f>'[11]B.S PJSC'!$C$24*((('2025 IR Data Book'!$A$5)))</f>
        <v>6141.7601039631654</v>
      </c>
      <c r="S20" s="28">
        <f>'[12]B.S PJSC'!$C$24*((('2025 IR Data Book'!$A$5)))</f>
        <v>5993.2627605664329</v>
      </c>
      <c r="T20" s="28">
        <f>'[13]B.S PJSC'!$C$24*((('2025 IR Data Book'!$A$5)))</f>
        <v>7331.8375814589235</v>
      </c>
      <c r="U20" s="28">
        <f>'[14]B.S PJSC'!$C$24*((('2025 IR Data Book'!$A$5)))</f>
        <v>6339.4917541086488</v>
      </c>
      <c r="V20" s="28">
        <f>'[15]B.S PJSC'!$C$24*((('2025 IR Data Book'!$A$5)))</f>
        <v>7583.2915177995365</v>
      </c>
    </row>
    <row r="21" spans="2:22" x14ac:dyDescent="0.2">
      <c r="B21" s="45" t="s">
        <v>98</v>
      </c>
      <c r="C21" s="28">
        <f>798722*('2025 IR Data Book'!$A$5)</f>
        <v>798722</v>
      </c>
      <c r="D21" s="28">
        <f>842966*('2025 IR Data Book'!$A$5)</f>
        <v>842966</v>
      </c>
      <c r="E21" s="28">
        <f>778329*('2025 IR Data Book'!$A$5)</f>
        <v>778329</v>
      </c>
      <c r="F21" s="28">
        <f>711800*('2025 IR Data Book'!$A$5)</f>
        <v>711800</v>
      </c>
      <c r="G21" s="28">
        <f>704333*('2025 IR Data Book'!$A$5)</f>
        <v>704333</v>
      </c>
      <c r="H21" s="28">
        <f>581871.5*('2025 IR Data Book'!$A$5)</f>
        <v>581871.5</v>
      </c>
      <c r="I21" s="28">
        <f>624511.215208246*(('2025 IR Data Book'!$A$5))</f>
        <v>624511.21520824602</v>
      </c>
      <c r="J21" s="28">
        <f>758954*(('2025 IR Data Book'!$A$5))</f>
        <v>758954</v>
      </c>
      <c r="K21" s="28">
        <f>712247*(('2025 IR Data Book'!$A$5))</f>
        <v>712247</v>
      </c>
      <c r="L21" s="28">
        <f>492266.198975992*((('2025 IR Data Book'!$A$5)))</f>
        <v>492266.19897599198</v>
      </c>
      <c r="M21" s="28">
        <f>596168.960787367*((('2025 IR Data Book'!$A$5)))</f>
        <v>596168.96078736696</v>
      </c>
      <c r="N21" s="28">
        <f>'[7]B.S PJSC'!$C$24*((('2025 IR Data Book'!$A$5)))</f>
        <v>567189.24339836009</v>
      </c>
      <c r="O21" s="28">
        <f>'[8]B.S PJSC'!$C$24*((('2025 IR Data Book'!$A$5)))</f>
        <v>563509.07544126781</v>
      </c>
      <c r="P21" s="28">
        <f>'[9]B.S PJSC'!$C$25*((('2025 IR Data Book'!$A$5)))</f>
        <v>448913.97156125103</v>
      </c>
      <c r="Q21" s="28">
        <f>'[10]B.S PJSC'!$C$25*((('2025 IR Data Book'!$A$5)))</f>
        <v>441105.68785975716</v>
      </c>
      <c r="R21" s="28">
        <f>'[11]B.S PJSC'!$C$25*((('2025 IR Data Book'!$A$5)))</f>
        <v>506588.05449361645</v>
      </c>
      <c r="S21" s="28">
        <f>'[12]B.S PJSC'!$C$25*((('2025 IR Data Book'!$A$5)))</f>
        <v>538850.27850877936</v>
      </c>
      <c r="T21" s="28">
        <f>'[13]B.S PJSC'!$C$25*((('2025 IR Data Book'!$A$5)))</f>
        <v>535136.36740395392</v>
      </c>
      <c r="U21" s="28">
        <f>'[14]B.S PJSC'!$C$25*((('2025 IR Data Book'!$A$5)))</f>
        <v>568640.79508385283</v>
      </c>
      <c r="V21" s="28">
        <f>'[15]B.S PJSC'!$C$25*((('2025 IR Data Book'!$A$5)))</f>
        <v>565538.15154701751</v>
      </c>
    </row>
    <row r="22" spans="2:22" ht="15.75" thickBot="1" x14ac:dyDescent="0.3">
      <c r="C22" s="41">
        <f t="shared" ref="C22:E22" si="8">SUM(C17:C21)</f>
        <v>2419434</v>
      </c>
      <c r="D22" s="41">
        <f t="shared" si="8"/>
        <v>2352308</v>
      </c>
      <c r="E22" s="41">
        <f t="shared" si="8"/>
        <v>2580395</v>
      </c>
      <c r="F22" s="41">
        <f t="shared" ref="F22:K22" si="9">SUM(F17:F21)</f>
        <v>2282572</v>
      </c>
      <c r="G22" s="41">
        <f t="shared" si="9"/>
        <v>2237274</v>
      </c>
      <c r="H22" s="41">
        <f t="shared" si="9"/>
        <v>2049067.2876293599</v>
      </c>
      <c r="I22" s="41">
        <f t="shared" si="9"/>
        <v>2001593.7991574388</v>
      </c>
      <c r="J22" s="41">
        <f t="shared" si="9"/>
        <v>2183002</v>
      </c>
      <c r="K22" s="41">
        <f t="shared" si="9"/>
        <v>2106603</v>
      </c>
      <c r="L22" s="41">
        <f t="shared" ref="L22:M22" si="10">SUM(L17:L21)</f>
        <v>1854594.2160664669</v>
      </c>
      <c r="M22" s="41">
        <f t="shared" si="10"/>
        <v>1832295.3134529809</v>
      </c>
      <c r="N22" s="41">
        <f t="shared" ref="N22:O22" si="11">SUM(N17:N21)</f>
        <v>1931981.8518772037</v>
      </c>
      <c r="O22" s="41">
        <f t="shared" si="11"/>
        <v>1922906.6353575613</v>
      </c>
      <c r="P22" s="41">
        <f t="shared" ref="P22:Q22" si="12">SUM(P17:P21)</f>
        <v>1785657.4005576835</v>
      </c>
      <c r="Q22" s="41">
        <f t="shared" si="12"/>
        <v>1824595.3193951973</v>
      </c>
      <c r="R22" s="41">
        <f t="shared" ref="R22:S22" si="13">SUM(R17:R21)</f>
        <v>1908005.6841885461</v>
      </c>
      <c r="S22" s="41">
        <f t="shared" si="13"/>
        <v>1992596.8099871741</v>
      </c>
      <c r="T22" s="41">
        <f t="shared" ref="T22:U22" si="14">SUM(T17:T21)</f>
        <v>1913468.2812468912</v>
      </c>
      <c r="U22" s="41">
        <f t="shared" si="14"/>
        <v>1948249.1725870976</v>
      </c>
      <c r="V22" s="41">
        <f t="shared" ref="V22" si="15">SUM(V17:V21)</f>
        <v>1976171.5741152631</v>
      </c>
    </row>
    <row r="23" spans="2:22" x14ac:dyDescent="0.2">
      <c r="B23" s="45" t="s">
        <v>99</v>
      </c>
      <c r="C23" s="28">
        <f>223270*('2025 IR Data Book'!$A$5)</f>
        <v>223270</v>
      </c>
      <c r="D23" s="28">
        <f>222236*('2025 IR Data Book'!$A$5)</f>
        <v>222236</v>
      </c>
      <c r="E23" s="28">
        <f>10796*('2025 IR Data Book'!$A$5)</f>
        <v>10796</v>
      </c>
      <c r="F23" s="28">
        <f>10650*('2025 IR Data Book'!$A$5)</f>
        <v>10650</v>
      </c>
      <c r="G23" s="28">
        <f>6706*('2025 IR Data Book'!$A$5)</f>
        <v>6706</v>
      </c>
      <c r="H23" s="28">
        <f>4600.82545261298*('2025 IR Data Book'!$A$5)</f>
        <v>4600.8254526129804</v>
      </c>
      <c r="I23" s="28">
        <f>7992.15309642213*(('2025 IR Data Book'!$A$5))</f>
        <v>7992.1530964221301</v>
      </c>
      <c r="J23" s="28">
        <f>6569*(('2025 IR Data Book'!$A$5))</f>
        <v>6569</v>
      </c>
      <c r="K23" s="28">
        <f>6185*(('2025 IR Data Book'!$A$5))</f>
        <v>6185</v>
      </c>
      <c r="L23" s="28">
        <f>5877.20954858466*((('2025 IR Data Book'!$A$5)))</f>
        <v>5877.2095485846603</v>
      </c>
      <c r="M23" s="28">
        <f>5460.06813439397*((('2025 IR Data Book'!$A$5)))</f>
        <v>5460.0681343939696</v>
      </c>
      <c r="N23" s="28">
        <f>'[7]B.S PJSC'!$C$26*((('2025 IR Data Book'!$A$5)))</f>
        <v>4898.3015131627399</v>
      </c>
      <c r="O23" s="28">
        <f>'[8]B.S PJSC'!$C$26*((('2025 IR Data Book'!$A$5)))</f>
        <v>4221.3100452591771</v>
      </c>
      <c r="P23" s="28">
        <f>'[9]B.S PJSC'!$C$27*((('2025 IR Data Book'!$A$5)))</f>
        <v>3689.4376031983566</v>
      </c>
      <c r="Q23" s="28">
        <f>'[10]B.S PJSC'!$C$27*((('2025 IR Data Book'!$A$5)))</f>
        <v>3221.236886470685</v>
      </c>
      <c r="R23" s="28">
        <f>'[11]B.S PJSC'!$C$27*((('2025 IR Data Book'!$A$5)))</f>
        <v>0</v>
      </c>
      <c r="S23" s="28">
        <f>'[12]B.S PJSC'!$C$27*((('2025 IR Data Book'!$A$5)))</f>
        <v>0</v>
      </c>
      <c r="T23" s="28">
        <f>'[13]B.S PJSC'!$C$27*((('2025 IR Data Book'!$A$5)))</f>
        <v>0</v>
      </c>
      <c r="U23" s="28">
        <f>'[14]B.S PJSC'!$C$27*((('2025 IR Data Book'!$A$5)))</f>
        <v>0</v>
      </c>
      <c r="V23" s="28">
        <f>'[15]B.S PJSC'!$C$27*((('2025 IR Data Book'!$A$5)))</f>
        <v>0</v>
      </c>
    </row>
    <row r="24" spans="2:22" ht="15.75" thickBot="1" x14ac:dyDescent="0.3">
      <c r="B24" s="21" t="s">
        <v>100</v>
      </c>
      <c r="C24" s="42">
        <f t="shared" ref="C24:E24" si="16">C15+C22+C23</f>
        <v>5886560</v>
      </c>
      <c r="D24" s="42">
        <f t="shared" si="16"/>
        <v>5879671</v>
      </c>
      <c r="E24" s="42">
        <f t="shared" si="16"/>
        <v>5836030</v>
      </c>
      <c r="F24" s="42">
        <f t="shared" ref="F24:K24" si="17">F15+F22+F23</f>
        <v>5399948.273159612</v>
      </c>
      <c r="G24" s="42">
        <f t="shared" si="17"/>
        <v>5326995</v>
      </c>
      <c r="H24" s="42">
        <f t="shared" si="17"/>
        <v>5148438.4076917376</v>
      </c>
      <c r="I24" s="42">
        <f t="shared" si="17"/>
        <v>5047460.7923272289</v>
      </c>
      <c r="J24" s="42">
        <f t="shared" si="17"/>
        <v>6092509</v>
      </c>
      <c r="K24" s="42">
        <f t="shared" si="17"/>
        <v>6040903</v>
      </c>
      <c r="L24" s="42">
        <f t="shared" ref="L24:M24" si="18">L15+L22+L23</f>
        <v>5781623.1631645281</v>
      </c>
      <c r="M24" s="42">
        <f t="shared" si="18"/>
        <v>5710231.8282695543</v>
      </c>
      <c r="N24" s="42">
        <f t="shared" ref="N24:O24" si="19">N15+N22+N23</f>
        <v>5827839.2850073734</v>
      </c>
      <c r="O24" s="42">
        <f t="shared" si="19"/>
        <v>5801183.207278653</v>
      </c>
      <c r="P24" s="42">
        <f t="shared" ref="P24:Q24" si="20">P15+P22+P23</f>
        <v>5650922.8656930998</v>
      </c>
      <c r="Q24" s="42">
        <f t="shared" si="20"/>
        <v>5703794.5091784121</v>
      </c>
      <c r="R24" s="42">
        <f t="shared" ref="R24:S24" si="21">R15+R22+R23</f>
        <v>5725620.3782781363</v>
      </c>
      <c r="S24" s="42">
        <f t="shared" si="21"/>
        <v>5809322.5268366495</v>
      </c>
      <c r="T24" s="42">
        <f t="shared" ref="T24:U24" si="22">T15+T22+T23</f>
        <v>5728748.1272133868</v>
      </c>
      <c r="U24" s="42">
        <f t="shared" si="22"/>
        <v>5787877.0251317285</v>
      </c>
      <c r="V24" s="42">
        <f t="shared" ref="V24" si="23">V15+V22+V23</f>
        <v>5896859.9714832157</v>
      </c>
    </row>
    <row r="25" spans="2:22" ht="13.5" thickTop="1" x14ac:dyDescent="0.2"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2:22" ht="15" x14ac:dyDescent="0.25">
      <c r="B26" s="21" t="s">
        <v>101</v>
      </c>
    </row>
    <row r="27" spans="2:22" x14ac:dyDescent="0.2">
      <c r="B27" s="45" t="s">
        <v>102</v>
      </c>
      <c r="C27" s="28">
        <f>1464100*('2025 IR Data Book'!$A$5)</f>
        <v>1464100</v>
      </c>
      <c r="D27" s="28">
        <f>1464100*('2025 IR Data Book'!$A$5)</f>
        <v>1464100</v>
      </c>
      <c r="E27" s="28">
        <f>1464100*('2025 IR Data Book'!$A$5)</f>
        <v>1464100</v>
      </c>
      <c r="F27" s="28">
        <f>1464100*('2025 IR Data Book'!$A$5)</f>
        <v>1464100</v>
      </c>
      <c r="G27" s="28">
        <f>1464100*('2025 IR Data Book'!$A$5)</f>
        <v>1464100</v>
      </c>
      <c r="H27" s="28">
        <f>1464100.0005029*('2025 IR Data Book'!$A$5)</f>
        <v>1464100.0005029</v>
      </c>
      <c r="I27" s="28">
        <f>1464100.0005029*(('2025 IR Data Book'!$A$5))</f>
        <v>1464100.0005029</v>
      </c>
      <c r="J27" s="28">
        <f>1464100*(('2025 IR Data Book'!$A$5))</f>
        <v>1464100</v>
      </c>
      <c r="K27" s="28">
        <f>1464100*(('2025 IR Data Book'!$A$5))</f>
        <v>1464100</v>
      </c>
      <c r="L27" s="28">
        <f>1464100.0005029*((('2025 IR Data Book'!$A$5)))</f>
        <v>1464100.0005029</v>
      </c>
      <c r="M27" s="28">
        <f>1464100.0004904*((('2025 IR Data Book'!$A$5)))</f>
        <v>1464100.0004904</v>
      </c>
      <c r="N27" s="28">
        <f>'[7]B.S PJSC'!$C$30*((('2025 IR Data Book'!$A$5)))</f>
        <v>1464100.0004904012</v>
      </c>
      <c r="O27" s="28">
        <f>'[8]B.S PJSC'!$C$30*((('2025 IR Data Book'!$A$5)))</f>
        <v>1464100.0004904012</v>
      </c>
      <c r="P27" s="28">
        <f>'[9]B.S PJSC'!$C$31*((('2025 IR Data Book'!$A$5)))</f>
        <v>1464100.0004904012</v>
      </c>
      <c r="Q27" s="28">
        <f>'[10]B.S PJSC'!$C$31*((('2025 IR Data Book'!$A$5)))</f>
        <v>1464100.0004904012</v>
      </c>
      <c r="R27" s="28">
        <f>'[11]B.S PJSC'!$C$31*((('2025 IR Data Book'!$A$5)))</f>
        <v>1464100.0004904012</v>
      </c>
      <c r="S27" s="28">
        <f>'[12]B.S PJSC'!$C$31*((('2025 IR Data Book'!$A$5)))</f>
        <v>1464100.0004904012</v>
      </c>
      <c r="T27" s="28">
        <f>'[13]B.S PJSC'!$C$31*((('2025 IR Data Book'!$A$5)))</f>
        <v>1464100.0004904012</v>
      </c>
      <c r="U27" s="28">
        <f>'[14]B.S PJSC'!$C$31*((('2025 IR Data Book'!$A$5)))</f>
        <v>1464100.0004904012</v>
      </c>
      <c r="V27" s="28">
        <f>'[15]B.S PJSC'!$C$31*((('2025 IR Data Book'!$A$5)))</f>
        <v>1464100.0004904012</v>
      </c>
    </row>
    <row r="28" spans="2:22" x14ac:dyDescent="0.2">
      <c r="B28" s="45" t="s">
        <v>103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>
        <f>'[9]B.S PJSC'!$C$32*((('2025 IR Data Book'!$A$5)))</f>
        <v>-2751.4369179577952</v>
      </c>
      <c r="Q28" s="28">
        <f>'[10]B.S PJSC'!$C$32*((('2025 IR Data Book'!$A$5)))</f>
        <v>-2750.9309041797142</v>
      </c>
      <c r="R28" s="28">
        <f>'[11]B.S PJSC'!$C$32*((('2025 IR Data Book'!$A$5)))</f>
        <v>-2766.9423401497606</v>
      </c>
      <c r="S28" s="28">
        <f>'[12]B.S PJSC'!$C$32*((('2025 IR Data Book'!$A$5)))</f>
        <v>-757.210863641743</v>
      </c>
      <c r="T28" s="28">
        <f>'[13]B.S PJSC'!$C$32*((('2025 IR Data Book'!$A$5)))</f>
        <v>-757.210863641743</v>
      </c>
      <c r="U28" s="28">
        <f>'[14]B.S PJSC'!$C$32*((('2025 IR Data Book'!$A$5)))</f>
        <v>0</v>
      </c>
      <c r="V28" s="28">
        <f>'[15]B.S PJSC'!$C$32*((('2025 IR Data Book'!$A$5)))</f>
        <v>0</v>
      </c>
    </row>
    <row r="29" spans="2:22" x14ac:dyDescent="0.2">
      <c r="B29" s="45" t="s">
        <v>104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>
        <f>'[9]B.S PJSC'!$C$33*((('2025 IR Data Book'!$A$5)))</f>
        <v>-4359.4507020285855</v>
      </c>
      <c r="Q29" s="28">
        <f>'[10]B.S PJSC'!$C$33*((('2025 IR Data Book'!$A$5)))</f>
        <v>-4390.7515543090522</v>
      </c>
      <c r="R29" s="28">
        <f>'[11]B.S PJSC'!$C$33*((('2025 IR Data Book'!$A$5)))</f>
        <v>-4069.1767982573165</v>
      </c>
      <c r="S29" s="28">
        <f>'[12]B.S PJSC'!$C$33*((('2025 IR Data Book'!$A$5)))</f>
        <v>-813.64815455411815</v>
      </c>
      <c r="T29" s="28">
        <f>'[13]B.S PJSC'!$C$33*((('2025 IR Data Book'!$A$5)))</f>
        <v>-813.64815455411815</v>
      </c>
      <c r="U29" s="28">
        <f>'[14]B.S PJSC'!$C$33*((('2025 IR Data Book'!$A$5)))</f>
        <v>700.77108106194669</v>
      </c>
      <c r="V29" s="28">
        <f>'[15]B.S PJSC'!$C$33*((('2025 IR Data Book'!$A$5)))</f>
        <v>0</v>
      </c>
    </row>
    <row r="30" spans="2:22" x14ac:dyDescent="0.2">
      <c r="B30" s="45" t="s">
        <v>105</v>
      </c>
      <c r="C30" s="28">
        <f>408929*('2025 IR Data Book'!$A$5)</f>
        <v>408929</v>
      </c>
      <c r="D30" s="28">
        <f>408929*('2025 IR Data Book'!$A$5)</f>
        <v>408929</v>
      </c>
      <c r="E30" s="28">
        <f>(387956)*('2025 IR Data Book'!$A$5)</f>
        <v>387956</v>
      </c>
      <c r="F30" s="28">
        <f>440802*('2025 IR Data Book'!$A$5)</f>
        <v>440802</v>
      </c>
      <c r="G30" s="28">
        <f>440802*('2025 IR Data Book'!$A$5)</f>
        <v>440802</v>
      </c>
      <c r="H30" s="28">
        <f>440802.007164254*('2025 IR Data Book'!$A$5)</f>
        <v>440802.00716425403</v>
      </c>
      <c r="I30" s="28">
        <f>440802.009766593*(('2025 IR Data Book'!$A$5))</f>
        <v>440802.00976659299</v>
      </c>
      <c r="J30" s="28">
        <f>471734*(('2025 IR Data Book'!$A$5))</f>
        <v>471734</v>
      </c>
      <c r="K30" s="28">
        <f>471734*(('2025 IR Data Book'!$A$5))</f>
        <v>471734</v>
      </c>
      <c r="L30" s="28">
        <f>471733.646084619*((('2025 IR Data Book'!$A$5)))</f>
        <v>471733.64608461899</v>
      </c>
      <c r="M30" s="28">
        <f>471733.645825985*((('2025 IR Data Book'!$A$5)))</f>
        <v>471733.645825985</v>
      </c>
      <c r="N30" s="28">
        <f>'[7]B.S PJSC'!$C$31*((('2025 IR Data Book'!$A$5)))</f>
        <v>500813.97132662067</v>
      </c>
      <c r="O30" s="28">
        <f>'[8]B.S PJSC'!$C$31*((('2025 IR Data Book'!$A$5)))</f>
        <v>500813.97132662078</v>
      </c>
      <c r="P30" s="28">
        <f>'[9]B.S PJSC'!$C$34*((('2025 IR Data Book'!$A$5)))</f>
        <v>500813.97132662078</v>
      </c>
      <c r="Q30" s="28">
        <f>'[10]B.S PJSC'!$C$34*((('2025 IR Data Book'!$A$5)))</f>
        <v>500813.97055780329</v>
      </c>
      <c r="R30" s="28">
        <f>'[11]B.S PJSC'!$C$34*((('2025 IR Data Book'!$A$5)))</f>
        <v>511577.63624196232</v>
      </c>
      <c r="S30" s="28">
        <f>'[12]B.S PJSC'!$C$34*((('2025 IR Data Book'!$A$5)))</f>
        <v>511577.63587321789</v>
      </c>
      <c r="T30" s="28">
        <f>'[13]B.S PJSC'!$C$34*((('2025 IR Data Book'!$A$5)))</f>
        <v>511577.63624196232</v>
      </c>
      <c r="U30" s="28">
        <f>'[14]B.S PJSC'!$C$34*((('2025 IR Data Book'!$A$5)))</f>
        <v>511577.63623745681</v>
      </c>
      <c r="V30" s="28">
        <f>'[15]B.S PJSC'!$C$34*((('2025 IR Data Book'!$A$5)))</f>
        <v>519647.68994657637</v>
      </c>
    </row>
    <row r="31" spans="2:22" x14ac:dyDescent="0.2">
      <c r="B31" s="45" t="s">
        <v>106</v>
      </c>
      <c r="C31" s="28">
        <f>-346490*('2025 IR Data Book'!$A$5)</f>
        <v>-346490</v>
      </c>
      <c r="D31" s="28">
        <f>-330959*('2025 IR Data Book'!$A$5)</f>
        <v>-330959</v>
      </c>
      <c r="E31" s="28">
        <f>-245213*('2025 IR Data Book'!$A$5)</f>
        <v>-245213</v>
      </c>
      <c r="F31" s="28">
        <f>-398529*('2025 IR Data Book'!$A$5)</f>
        <v>-398529</v>
      </c>
      <c r="G31" s="28">
        <f>-434219*('2025 IR Data Book'!$A$5)</f>
        <v>-434219</v>
      </c>
      <c r="H31" s="28">
        <f>-440973.294269109*('2025 IR Data Book'!$A$5)</f>
        <v>-440973.29426910903</v>
      </c>
      <c r="I31" s="28">
        <f>-458575.470851612*(('2025 IR Data Book'!$A$5))</f>
        <v>-458575.47085161199</v>
      </c>
      <c r="J31" s="28">
        <f>-529432*(('2025 IR Data Book'!$A$5))</f>
        <v>-529432</v>
      </c>
      <c r="K31" s="28">
        <f>-547489*(('2025 IR Data Book'!$A$5))</f>
        <v>-547489</v>
      </c>
      <c r="L31" s="28">
        <f>-556762.542076393*((('2025 IR Data Book'!$A$5)))</f>
        <v>-556762.54207639303</v>
      </c>
      <c r="M31" s="28">
        <f>-549693.668729393*((('2025 IR Data Book'!$A$5)))</f>
        <v>-549693.66872939304</v>
      </c>
      <c r="N31" s="28">
        <f>'[7]B.S PJSC'!$C$32*((('2025 IR Data Book'!$A$5)))</f>
        <v>-560017.06468192616</v>
      </c>
      <c r="O31" s="28">
        <f>'[8]B.S PJSC'!$C$32*((('2025 IR Data Book'!$A$5)))</f>
        <v>-585987.27493268764</v>
      </c>
      <c r="P31" s="28">
        <f>'[9]B.S PJSC'!$C$35*((('2025 IR Data Book'!$A$5)))</f>
        <v>-588222.45489730954</v>
      </c>
      <c r="Q31" s="28">
        <f>'[10]B.S PJSC'!$C$35*((('2025 IR Data Book'!$A$5)))</f>
        <v>-587499.56015831151</v>
      </c>
      <c r="R31" s="28">
        <f>'[11]B.S PJSC'!$C$35*((('2025 IR Data Book'!$A$5)))</f>
        <v>-634125.52979165781</v>
      </c>
      <c r="S31" s="28">
        <f>'[12]B.S PJSC'!$C$35*((('2025 IR Data Book'!$A$5)))</f>
        <v>-632686.82010668516</v>
      </c>
      <c r="T31" s="28">
        <f>'[13]B.S PJSC'!$C$35*((('2025 IR Data Book'!$A$5)))</f>
        <v>-638344.18178650283</v>
      </c>
      <c r="U31" s="28">
        <f>'[14]B.S PJSC'!$C$35*((('2025 IR Data Book'!$A$5)))</f>
        <v>-638973.01361922792</v>
      </c>
      <c r="V31" s="28">
        <f>'[15]B.S PJSC'!$C$35*((('2025 IR Data Book'!$A$5)))</f>
        <v>-604496.30703518388</v>
      </c>
    </row>
    <row r="32" spans="2:22" x14ac:dyDescent="0.2">
      <c r="B32" s="45" t="s">
        <v>107</v>
      </c>
      <c r="C32" s="28">
        <f>-335186*('2025 IR Data Book'!$A$5)</f>
        <v>-335186</v>
      </c>
      <c r="D32" s="28">
        <f>-335186*('2025 IR Data Book'!$A$5)</f>
        <v>-335186</v>
      </c>
      <c r="E32" s="28">
        <f>(-329759)*('2025 IR Data Book'!$A$5)</f>
        <v>-329759</v>
      </c>
      <c r="F32" s="28">
        <f>-329759*('2025 IR Data Book'!$A$5)</f>
        <v>-329759</v>
      </c>
      <c r="G32" s="28">
        <f>-329759*('2025 IR Data Book'!$A$5)</f>
        <v>-329759</v>
      </c>
      <c r="H32" s="28">
        <f>-329758.835389051*('2025 IR Data Book'!$A$5)</f>
        <v>-329758.835389051</v>
      </c>
      <c r="I32" s="28">
        <f>-329758.835389051*(('2025 IR Data Book'!$A$5))</f>
        <v>-329758.835389051</v>
      </c>
      <c r="J32" s="28">
        <f>-329908*(('2025 IR Data Book'!$A$5))</f>
        <v>-329908</v>
      </c>
      <c r="K32" s="28">
        <f>-329908*(('2025 IR Data Book'!$A$5))</f>
        <v>-329908</v>
      </c>
      <c r="L32" s="28">
        <f>-336985.876829251*((('2025 IR Data Book'!$A$5)))</f>
        <v>-336985.87682925101</v>
      </c>
      <c r="M32" s="28">
        <f>-336985.876829251*((('2025 IR Data Book'!$A$5)))</f>
        <v>-336985.87682925101</v>
      </c>
      <c r="N32" s="28">
        <f>'[7]B.S PJSC'!$C$33*((('2025 IR Data Book'!$A$5)))</f>
        <v>-336985.87682925095</v>
      </c>
      <c r="O32" s="28">
        <f>'[8]B.S PJSC'!$C$33*((('2025 IR Data Book'!$A$5)))</f>
        <v>-336985.87682925095</v>
      </c>
      <c r="P32" s="28">
        <f>'[9]B.S PJSC'!$C$36*((('2025 IR Data Book'!$A$5)))</f>
        <v>-336985.87682925095</v>
      </c>
      <c r="Q32" s="28">
        <f>'[10]B.S PJSC'!$C$36*((('2025 IR Data Book'!$A$5)))</f>
        <v>-336985.87682925095</v>
      </c>
      <c r="R32" s="28">
        <f>'[11]B.S PJSC'!$C$36*((('2025 IR Data Book'!$A$5)))</f>
        <v>-336985.87682925095</v>
      </c>
      <c r="S32" s="28">
        <f>'[12]B.S PJSC'!$C$36*((('2025 IR Data Book'!$A$5)))</f>
        <v>-336985.87682925095</v>
      </c>
      <c r="T32" s="28">
        <f>'[13]B.S PJSC'!$C$36*((('2025 IR Data Book'!$A$5)))</f>
        <v>-336985.87682925095</v>
      </c>
      <c r="U32" s="28">
        <f>'[14]B.S PJSC'!$C$36*((('2025 IR Data Book'!$A$5)))</f>
        <v>-336985.87682925095</v>
      </c>
      <c r="V32" s="28">
        <f>'[15]B.S PJSC'!$C$36*((('2025 IR Data Book'!$A$5)))</f>
        <v>-336985.87682925095</v>
      </c>
    </row>
    <row r="33" spans="2:22" x14ac:dyDescent="0.2">
      <c r="B33" s="45" t="s">
        <v>108</v>
      </c>
      <c r="C33" s="28">
        <f>-7123*('2025 IR Data Book'!$A$5)</f>
        <v>-7123</v>
      </c>
      <c r="D33" s="28">
        <f>-7148*('2025 IR Data Book'!$A$5)</f>
        <v>-7148</v>
      </c>
      <c r="E33" s="28">
        <f>-12372*('2025 IR Data Book'!$A$5)</f>
        <v>-12372</v>
      </c>
      <c r="F33" s="28">
        <f>-12008*('2025 IR Data Book'!$A$5)</f>
        <v>-12008</v>
      </c>
      <c r="G33" s="28">
        <f>-11881*('2025 IR Data Book'!$A$5)</f>
        <v>-11881</v>
      </c>
      <c r="H33" s="28">
        <f>-12015.4950132358*('2025 IR Data Book'!$A$5)</f>
        <v>-12015.495013235801</v>
      </c>
      <c r="I33" s="28">
        <f>-12031.0908187677*(('2025 IR Data Book'!$A$5))</f>
        <v>-12031.0908187677</v>
      </c>
      <c r="J33" s="28">
        <f>-11804*(('2025 IR Data Book'!$A$5))</f>
        <v>-11804</v>
      </c>
      <c r="K33" s="28">
        <f>-11806*(('2025 IR Data Book'!$A$5))</f>
        <v>-11806</v>
      </c>
      <c r="L33" s="28">
        <f>-11810.2691153082*((('2025 IR Data Book'!$A$5)))</f>
        <v>-11810.2691153082</v>
      </c>
      <c r="M33" s="28">
        <f>-11900.435236126*((('2025 IR Data Book'!$A$5)))</f>
        <v>-11900.435236126001</v>
      </c>
      <c r="N33" s="28">
        <f>'[7]B.S PJSC'!$C$34*((('2025 IR Data Book'!$A$5)))</f>
        <v>-12015.339216443281</v>
      </c>
      <c r="O33" s="28">
        <f>'[8]B.S PJSC'!$C$34*((('2025 IR Data Book'!$A$5)))</f>
        <v>-11835.26911460567</v>
      </c>
      <c r="P33" s="28">
        <f>'[9]B.S PJSC'!$C$37*((('2025 IR Data Book'!$A$5)))</f>
        <v>-11675.412550541419</v>
      </c>
      <c r="Q33" s="28">
        <f>'[10]B.S PJSC'!$C$37*((('2025 IR Data Book'!$A$5)))</f>
        <v>-11564.428730174783</v>
      </c>
      <c r="R33" s="28">
        <f>'[11]B.S PJSC'!$C$37*((('2025 IR Data Book'!$A$5)))</f>
        <v>-6231.3527480023249</v>
      </c>
      <c r="S33" s="28">
        <f>'[12]B.S PJSC'!$C$37*((('2025 IR Data Book'!$A$5)))</f>
        <v>-5583.9971680806702</v>
      </c>
      <c r="T33" s="28">
        <f>'[13]B.S PJSC'!$C$37*((('2025 IR Data Book'!$A$5)))</f>
        <v>-9788.4780981103213</v>
      </c>
      <c r="U33" s="28">
        <f>'[14]B.S PJSC'!$C$37*((('2025 IR Data Book'!$A$5)))</f>
        <v>-23608.469245650947</v>
      </c>
      <c r="V33" s="28">
        <f>'[15]B.S PJSC'!$C$37*((('2025 IR Data Book'!$A$5)))</f>
        <v>-23351.044967233611</v>
      </c>
    </row>
    <row r="34" spans="2:22" x14ac:dyDescent="0.2">
      <c r="B34" s="45" t="s">
        <v>109</v>
      </c>
      <c r="C34" s="35">
        <f>1549217*('2025 IR Data Book'!$A$5)</f>
        <v>1549217</v>
      </c>
      <c r="D34" s="35">
        <f>1424350*('2025 IR Data Book'!$A$5)</f>
        <v>1424350</v>
      </c>
      <c r="E34" s="35">
        <f>1507169*('2025 IR Data Book'!$A$5)</f>
        <v>1507169</v>
      </c>
      <c r="F34" s="35">
        <f>1500570*('2025 IR Data Book'!$A$5)</f>
        <v>1500570</v>
      </c>
      <c r="G34" s="35">
        <f>1547872*('2025 IR Data Book'!$A$5)</f>
        <v>1547872</v>
      </c>
      <c r="H34" s="35">
        <f>1402107.88355813*('2025 IR Data Book'!$A$5)</f>
        <v>1402107.8835581299</v>
      </c>
      <c r="I34" s="35">
        <f>1441751.34506467*(('2025 IR Data Book'!$A$5))</f>
        <v>1441751.3450646701</v>
      </c>
      <c r="J34" s="35">
        <f>1444833*(('2025 IR Data Book'!$A$5))</f>
        <v>1444833</v>
      </c>
      <c r="K34" s="35">
        <f>1468741.61847322*(('2025 IR Data Book'!$A$5))</f>
        <v>1468741.6184732199</v>
      </c>
      <c r="L34" s="35">
        <f>1348122.32361925*((('2025 IR Data Book'!$A$5)))</f>
        <v>1348122.32361925</v>
      </c>
      <c r="M34" s="35">
        <f>1357763.60136063*((('2025 IR Data Book'!$A$5)))</f>
        <v>1357763.60136063</v>
      </c>
      <c r="N34" s="35">
        <f>'[7]B.S PJSC'!$C$35*((('2025 IR Data Book'!$A$5)))</f>
        <v>1405470.3010672617</v>
      </c>
      <c r="O34" s="35">
        <f>'[8]B.S PJSC'!$C$35*((('2025 IR Data Book'!$A$5)))</f>
        <v>1452035.1507781483</v>
      </c>
      <c r="P34" s="35">
        <f>'[9]B.S PJSC'!$C$38*((('2025 IR Data Book'!$A$5)))</f>
        <v>1454928.301242688</v>
      </c>
      <c r="Q34" s="35">
        <f>'[10]B.S PJSC'!$C$38*((('2025 IR Data Book'!$A$5)))</f>
        <v>1481613.4411829798</v>
      </c>
      <c r="R34" s="35">
        <f>'[11]B.S PJSC'!$C$38*((('2025 IR Data Book'!$A$5)))</f>
        <v>1525041.7581094741</v>
      </c>
      <c r="S34" s="35">
        <f>'[12]B.S PJSC'!$C$38*((('2025 IR Data Book'!$A$5)))</f>
        <v>1542164.7253143613</v>
      </c>
      <c r="T34" s="35">
        <f>'[13]B.S PJSC'!$C$38*((('2025 IR Data Book'!$A$5)))</f>
        <v>1532895.3711098104</v>
      </c>
      <c r="U34" s="35">
        <f>'[14]B.S PJSC'!$C$38*((('2025 IR Data Book'!$A$5)))</f>
        <v>1538107.410900604</v>
      </c>
      <c r="V34" s="35">
        <f>'[15]B.S PJSC'!$C$38*((('2025 IR Data Book'!$A$5)))</f>
        <v>1538254.6388849262</v>
      </c>
    </row>
    <row r="35" spans="2:22" x14ac:dyDescent="0.2"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2:22" ht="15" x14ac:dyDescent="0.25">
      <c r="B36" s="21" t="s">
        <v>110</v>
      </c>
      <c r="C36" s="28">
        <f>(SUM(C27:C35))</f>
        <v>2733447</v>
      </c>
      <c r="D36" s="28">
        <f t="shared" ref="D36:H36" si="24">(SUM(D27:D35))</f>
        <v>2624086</v>
      </c>
      <c r="E36" s="28">
        <f t="shared" si="24"/>
        <v>2771881</v>
      </c>
      <c r="F36" s="28">
        <f t="shared" si="24"/>
        <v>2665176</v>
      </c>
      <c r="G36" s="28">
        <f t="shared" si="24"/>
        <v>2676915</v>
      </c>
      <c r="H36" s="28">
        <f t="shared" si="24"/>
        <v>2524262.2665538881</v>
      </c>
      <c r="I36" s="28">
        <f t="shared" ref="I36:J36" si="25">(SUM(I27:I35))</f>
        <v>2546287.9582747323</v>
      </c>
      <c r="J36" s="28">
        <f t="shared" si="25"/>
        <v>2509523</v>
      </c>
      <c r="K36" s="28">
        <f t="shared" ref="K36" si="26">(SUM(K27:K35))</f>
        <v>2515372.6184732197</v>
      </c>
      <c r="L36" s="28">
        <f>2378397.28218582*((('2025 IR Data Book'!$A$5)))</f>
        <v>2378397.2821858199</v>
      </c>
      <c r="M36" s="28">
        <f>2395017.26688225*((('2025 IR Data Book'!$A$5)))</f>
        <v>2395017.2668822501</v>
      </c>
      <c r="N36" s="28">
        <f>'[7]B.S PJSC'!$C$37*((('2025 IR Data Book'!$A$5)))</f>
        <v>2461365.992156663</v>
      </c>
      <c r="O36" s="28">
        <f>'[8]B.S PJSC'!$C$37*((('2025 IR Data Book'!$A$5)))</f>
        <v>2482140.7017186261</v>
      </c>
      <c r="P36" s="28">
        <f>'[9]B.S PJSC'!$C$40*((('2025 IR Data Book'!$A$5)))</f>
        <v>2475847.6411626213</v>
      </c>
      <c r="Q36" s="28">
        <f>'[10]B.S PJSC'!$C$40*((('2025 IR Data Book'!$A$5)))</f>
        <v>2503335.8640549583</v>
      </c>
      <c r="R36" s="28">
        <f>'[11]B.S PJSC'!$C$40*((('2025 IR Data Book'!$A$5)))</f>
        <v>2516540.5163345197</v>
      </c>
      <c r="S36" s="28">
        <f>'[12]B.S PJSC'!$C$40*((('2025 IR Data Book'!$A$5)))</f>
        <v>2541014.8085557679</v>
      </c>
      <c r="T36" s="28">
        <f>'[13]B.S PJSC'!$C$40*((('2025 IR Data Book'!$A$5)))</f>
        <v>2521883.6121101142</v>
      </c>
      <c r="U36" s="28">
        <f>'[14]B.S PJSC'!$C$40*((('2025 IR Data Book'!$A$5)))</f>
        <v>2514918.4590153941</v>
      </c>
      <c r="V36" s="28">
        <f>'[15]B.S PJSC'!$C$40*((('2025 IR Data Book'!$A$5)))</f>
        <v>2557169.1004902348</v>
      </c>
    </row>
    <row r="37" spans="2:22" x14ac:dyDescent="0.2">
      <c r="B37" s="45" t="s">
        <v>111</v>
      </c>
      <c r="C37" s="28">
        <f>14620*('2025 IR Data Book'!$A$5)</f>
        <v>14620</v>
      </c>
      <c r="D37" s="28">
        <f>14046*('2025 IR Data Book'!$A$5)</f>
        <v>14046</v>
      </c>
      <c r="E37" s="28">
        <f>11564*('2025 IR Data Book'!$A$5)</f>
        <v>11564</v>
      </c>
      <c r="F37" s="28">
        <f>10817*('2025 IR Data Book'!$A$5)</f>
        <v>10817</v>
      </c>
      <c r="G37" s="28">
        <f>10634*('2025 IR Data Book'!$A$5)</f>
        <v>10634</v>
      </c>
      <c r="H37" s="28">
        <f>9944.41812074526*('2025 IR Data Book'!$A$5)</f>
        <v>9944.4181207452602</v>
      </c>
      <c r="I37" s="28">
        <f>9251.50572697743*(('2025 IR Data Book'!$A$5))</f>
        <v>9251.5057269774297</v>
      </c>
      <c r="J37" s="28">
        <f>8865*(('2025 IR Data Book'!$A$5))</f>
        <v>8865</v>
      </c>
      <c r="K37" s="28">
        <f>8880*(('2025 IR Data Book'!$A$5))</f>
        <v>8880</v>
      </c>
      <c r="L37" s="28">
        <f>7374.89694070358*((('2025 IR Data Book'!$A$5)))</f>
        <v>7374.8969407035802</v>
      </c>
      <c r="M37" s="28">
        <f>6366.72801917138*((('2025 IR Data Book'!$A$5)))</f>
        <v>6366.7280191713799</v>
      </c>
      <c r="N37" s="28">
        <f>'[7]B.S PJSC'!$C$38*((('2025 IR Data Book'!$A$5)))</f>
        <v>6554.4241120929082</v>
      </c>
      <c r="O37" s="28">
        <f>'[8]B.S PJSC'!$C$38*((('2025 IR Data Book'!$A$5)))</f>
        <v>6393.9920872263665</v>
      </c>
      <c r="P37" s="28">
        <f>'[9]B.S PJSC'!$C$41*((('2025 IR Data Book'!$A$5)))</f>
        <v>4668.1983820472415</v>
      </c>
      <c r="Q37" s="28">
        <f>'[10]B.S PJSC'!$C$41*((('2025 IR Data Book'!$A$5)))</f>
        <v>4913.7597498051673</v>
      </c>
      <c r="R37" s="28">
        <f>'[11]B.S PJSC'!$C$41*((('2025 IR Data Book'!$A$5)))</f>
        <v>7039.8059292301705</v>
      </c>
      <c r="S37" s="28">
        <f>'[12]B.S PJSC'!$C$41*((('2025 IR Data Book'!$A$5)))</f>
        <v>7336.1736751925018</v>
      </c>
      <c r="T37" s="28">
        <f>'[13]B.S PJSC'!$C$41*((('2025 IR Data Book'!$A$5)))</f>
        <v>5189.1879447369265</v>
      </c>
      <c r="U37" s="28">
        <f>'[14]B.S PJSC'!$C$41*((('2025 IR Data Book'!$A$5)))</f>
        <v>5837.2540973865671</v>
      </c>
      <c r="V37" s="28">
        <f>'[15]B.S PJSC'!$C$41*((('2025 IR Data Book'!$A$5)))</f>
        <v>5831.7064648237174</v>
      </c>
    </row>
    <row r="38" spans="2:22" ht="15.75" thickBot="1" x14ac:dyDescent="0.3">
      <c r="B38" s="21" t="s">
        <v>112</v>
      </c>
      <c r="C38" s="41">
        <f t="shared" ref="C38:E38" si="27">SUM(C36:C37)</f>
        <v>2748067</v>
      </c>
      <c r="D38" s="41">
        <f t="shared" si="27"/>
        <v>2638132</v>
      </c>
      <c r="E38" s="41">
        <f t="shared" si="27"/>
        <v>2783445</v>
      </c>
      <c r="F38" s="41">
        <f t="shared" ref="F38:K38" si="28">SUM(F36:F37)</f>
        <v>2675993</v>
      </c>
      <c r="G38" s="41">
        <f t="shared" si="28"/>
        <v>2687549</v>
      </c>
      <c r="H38" s="41">
        <f t="shared" si="28"/>
        <v>2534206.6846746332</v>
      </c>
      <c r="I38" s="41">
        <f t="shared" si="28"/>
        <v>2555539.4640017096</v>
      </c>
      <c r="J38" s="41">
        <f t="shared" si="28"/>
        <v>2518388</v>
      </c>
      <c r="K38" s="41">
        <f t="shared" si="28"/>
        <v>2524252.6184732197</v>
      </c>
      <c r="L38" s="41">
        <f t="shared" ref="L38:M38" si="29">SUM(L36:L37)</f>
        <v>2385772.1791265234</v>
      </c>
      <c r="M38" s="41">
        <f t="shared" si="29"/>
        <v>2401383.9949014215</v>
      </c>
      <c r="N38" s="41">
        <f t="shared" ref="N38:O38" si="30">SUM(N36:N37)</f>
        <v>2467920.4162687557</v>
      </c>
      <c r="O38" s="41">
        <f t="shared" si="30"/>
        <v>2488534.6938058524</v>
      </c>
      <c r="P38" s="41">
        <f t="shared" ref="P38:Q38" si="31">SUM(P36:P37)</f>
        <v>2480515.8395446688</v>
      </c>
      <c r="Q38" s="41">
        <f t="shared" si="31"/>
        <v>2508249.6238047634</v>
      </c>
      <c r="R38" s="41">
        <f t="shared" ref="R38:S38" si="32">SUM(R36:R37)</f>
        <v>2523580.3222637498</v>
      </c>
      <c r="S38" s="41">
        <f t="shared" si="32"/>
        <v>2548350.9822309604</v>
      </c>
      <c r="T38" s="41">
        <f t="shared" ref="T38:U38" si="33">SUM(T36:T37)</f>
        <v>2527072.800054851</v>
      </c>
      <c r="U38" s="41">
        <f t="shared" si="33"/>
        <v>2520755.7131127808</v>
      </c>
      <c r="V38" s="41">
        <f t="shared" ref="V38" si="34">SUM(V36:V37)</f>
        <v>2563000.8069550586</v>
      </c>
    </row>
    <row r="39" spans="2:22" x14ac:dyDescent="0.2"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2:22" ht="15" x14ac:dyDescent="0.25">
      <c r="B40" s="21" t="s">
        <v>113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2:22" ht="15" x14ac:dyDescent="0.25">
      <c r="B41" s="21" t="s">
        <v>114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2:22" x14ac:dyDescent="0.2">
      <c r="B42" s="45" t="s">
        <v>115</v>
      </c>
      <c r="C42" s="28">
        <f>155368*('2025 IR Data Book'!$A$5)</f>
        <v>155368</v>
      </c>
      <c r="D42" s="28">
        <f>146488*('2025 IR Data Book'!$A$5)</f>
        <v>146488</v>
      </c>
      <c r="E42" s="28">
        <f>139069*('2025 IR Data Book'!$A$5)</f>
        <v>139069</v>
      </c>
      <c r="F42" s="28">
        <f>137259*('2025 IR Data Book'!$A$5)</f>
        <v>137259</v>
      </c>
      <c r="G42" s="28">
        <f>137922*('2025 IR Data Book'!$A$5)</f>
        <v>137922</v>
      </c>
      <c r="H42" s="28">
        <f>122172.398073862*('2025 IR Data Book'!$A$5)</f>
        <v>122172.398073862</v>
      </c>
      <c r="I42" s="28">
        <f>110045.869283579*(('2025 IR Data Book'!$A$5))</f>
        <v>110045.869283579</v>
      </c>
      <c r="J42" s="28">
        <f>1086304*(('2025 IR Data Book'!$A$5))</f>
        <v>1086304</v>
      </c>
      <c r="K42" s="28">
        <f>1087207*(('2025 IR Data Book'!$A$5))</f>
        <v>1087207</v>
      </c>
      <c r="L42" s="28">
        <f>1088847.78888998*((('2025 IR Data Book'!$A$5)))</f>
        <v>1088847.7888899799</v>
      </c>
      <c r="M42" s="28">
        <f>1076661.32367452*((('2025 IR Data Book'!$A$5)))</f>
        <v>1076661.32367452</v>
      </c>
      <c r="N42" s="28">
        <f>'[7]B.S PJSC'!$C$43*((('2025 IR Data Book'!$A$5)))</f>
        <v>1067335.0496541616</v>
      </c>
      <c r="O42" s="28">
        <f>'[8]B.S PJSC'!$C$43*((('2025 IR Data Book'!$A$5)))</f>
        <v>1030809.2332337081</v>
      </c>
      <c r="P42" s="28">
        <f>'[9]B.S PJSC'!$C$46*((('2025 IR Data Book'!$A$5)))</f>
        <v>950736.57666213613</v>
      </c>
      <c r="Q42" s="28">
        <f>'[10]B.S PJSC'!$C$46*((('2025 IR Data Book'!$A$5)))</f>
        <v>929794.6427843147</v>
      </c>
      <c r="R42" s="28">
        <f>'[11]B.S PJSC'!$C$46*((('2025 IR Data Book'!$A$5)))</f>
        <v>911917.72080949973</v>
      </c>
      <c r="S42" s="28">
        <f>'[12]B.S PJSC'!$C$46*((('2025 IR Data Book'!$A$5)))</f>
        <v>919141.42365966819</v>
      </c>
      <c r="T42" s="28">
        <f>'[13]B.S PJSC'!$C$46*((('2025 IR Data Book'!$A$5)))</f>
        <v>938313.96527422708</v>
      </c>
      <c r="U42" s="28">
        <f>'[14]B.S PJSC'!$C$46*((('2025 IR Data Book'!$A$5)))</f>
        <v>929981.96226310474</v>
      </c>
      <c r="V42" s="28">
        <f>'[15]B.S PJSC'!$C$46*((('2025 IR Data Book'!$A$5)))</f>
        <v>911849.97891473642</v>
      </c>
    </row>
    <row r="43" spans="2:22" x14ac:dyDescent="0.2">
      <c r="B43" s="45" t="s">
        <v>116</v>
      </c>
      <c r="C43" s="28">
        <f>669312*('2025 IR Data Book'!$A$5)</f>
        <v>669312</v>
      </c>
      <c r="D43" s="28">
        <f>720024*('2025 IR Data Book'!$A$5)</f>
        <v>720024</v>
      </c>
      <c r="E43" s="28">
        <f>730981*('2025 IR Data Book'!$A$5)</f>
        <v>730981</v>
      </c>
      <c r="F43" s="28">
        <f>754933*('2025 IR Data Book'!$A$5)</f>
        <v>754933</v>
      </c>
      <c r="G43" s="28">
        <f>744238*('2025 IR Data Book'!$A$5)</f>
        <v>744238</v>
      </c>
      <c r="H43" s="28">
        <f>794947.789637232*('2025 IR Data Book'!$A$5)</f>
        <v>794947.78963723197</v>
      </c>
      <c r="I43" s="28">
        <f>774058.801887165*(('2025 IR Data Book'!$A$5))</f>
        <v>774058.80188716506</v>
      </c>
      <c r="J43" s="28">
        <f>757036*(('2025 IR Data Book'!$A$5))</f>
        <v>757036</v>
      </c>
      <c r="K43" s="28">
        <f>784551*(('2025 IR Data Book'!$A$5))</f>
        <v>784551</v>
      </c>
      <c r="L43" s="28">
        <f>772653.982024996*((('2025 IR Data Book'!$A$5)))</f>
        <v>772653.98202499596</v>
      </c>
      <c r="M43" s="28">
        <f>749747.858117818*((('2025 IR Data Book'!$A$5)))</f>
        <v>749747.85811781802</v>
      </c>
      <c r="N43" s="28">
        <f>'[7]B.S PJSC'!$C$44*((('2025 IR Data Book'!$A$5)))</f>
        <v>771905.81678478431</v>
      </c>
      <c r="O43" s="28">
        <f>'[8]B.S PJSC'!$C$44*((('2025 IR Data Book'!$A$5)))</f>
        <v>741381.52301525639</v>
      </c>
      <c r="P43" s="28">
        <f>'[9]B.S PJSC'!$C$47*((('2025 IR Data Book'!$A$5)))</f>
        <v>741125.47064263374</v>
      </c>
      <c r="Q43" s="28">
        <f>'[10]B.S PJSC'!$C$47*((('2025 IR Data Book'!$A$5)))</f>
        <v>751693.92752880813</v>
      </c>
      <c r="R43" s="28">
        <f>'[11]B.S PJSC'!$C$47*((('2025 IR Data Book'!$A$5)))</f>
        <v>756743.49612770579</v>
      </c>
      <c r="S43" s="28">
        <f>'[12]B.S PJSC'!$C$47*((('2025 IR Data Book'!$A$5)))</f>
        <v>710580.63953579322</v>
      </c>
      <c r="T43" s="28">
        <f>'[13]B.S PJSC'!$C$47*((('2025 IR Data Book'!$A$5)))</f>
        <v>718795.96497128892</v>
      </c>
      <c r="U43" s="28">
        <f>'[14]B.S PJSC'!$C$47*((('2025 IR Data Book'!$A$5)))</f>
        <v>772179.08620560775</v>
      </c>
      <c r="V43" s="28">
        <f>'[15]B.S PJSC'!$C$47*((('2025 IR Data Book'!$A$5)))</f>
        <v>814608.47636688594</v>
      </c>
    </row>
    <row r="44" spans="2:22" x14ac:dyDescent="0.2">
      <c r="B44" s="45" t="s">
        <v>117</v>
      </c>
      <c r="C44" s="28">
        <f>152120*('2025 IR Data Book'!$A$5)</f>
        <v>152120</v>
      </c>
      <c r="D44" s="28">
        <f>151634*('2025 IR Data Book'!$A$5)</f>
        <v>151634</v>
      </c>
      <c r="E44" s="28">
        <f>151071*('2025 IR Data Book'!$A$5)</f>
        <v>151071</v>
      </c>
      <c r="F44" s="28">
        <f>148822*('2025 IR Data Book'!$A$5)</f>
        <v>148822</v>
      </c>
      <c r="G44" s="28">
        <f>148248*('2025 IR Data Book'!$A$5)</f>
        <v>148248</v>
      </c>
      <c r="H44" s="28">
        <f>152316.131298976*('2025 IR Data Book'!$A$5)</f>
        <v>152316.13129897599</v>
      </c>
      <c r="I44" s="28">
        <f>154912.371507284*(('2025 IR Data Book'!$A$5))</f>
        <v>154912.371507284</v>
      </c>
      <c r="J44" s="28">
        <f>164136*(('2025 IR Data Book'!$A$5))</f>
        <v>164136</v>
      </c>
      <c r="K44" s="28">
        <f>162637*(('2025 IR Data Book'!$A$5))</f>
        <v>162637</v>
      </c>
      <c r="L44" s="28">
        <f>165335.750656825*((('2025 IR Data Book'!$A$5)))</f>
        <v>165335.750656825</v>
      </c>
      <c r="M44" s="28">
        <f>169613.640533266*((('2025 IR Data Book'!$A$5)))</f>
        <v>169613.64053326601</v>
      </c>
      <c r="N44" s="28">
        <f>'[7]B.S PJSC'!$C$45*((('2025 IR Data Book'!$A$5)))</f>
        <v>169967.95069779558</v>
      </c>
      <c r="O44" s="28">
        <f>'[8]B.S PJSC'!$C$45*((('2025 IR Data Book'!$A$5)))</f>
        <v>177289.11765624973</v>
      </c>
      <c r="P44" s="28">
        <f>'[9]B.S PJSC'!$C$48*((('2025 IR Data Book'!$A$5)))</f>
        <v>180533.48927764926</v>
      </c>
      <c r="Q44" s="28">
        <f>'[10]B.S PJSC'!$C$48*((('2025 IR Data Book'!$A$5)))</f>
        <v>193902.19099780856</v>
      </c>
      <c r="R44" s="28">
        <f>'[11]B.S PJSC'!$C$48*((('2025 IR Data Book'!$A$5)))</f>
        <v>196851.58983834283</v>
      </c>
      <c r="S44" s="28">
        <f>'[12]B.S PJSC'!$C$48*((('2025 IR Data Book'!$A$5)))</f>
        <v>200484.81201841903</v>
      </c>
      <c r="T44" s="28">
        <f>'[13]B.S PJSC'!$C$48*((('2025 IR Data Book'!$A$5)))</f>
        <v>202450.55081543326</v>
      </c>
      <c r="U44" s="28">
        <f>'[14]B.S PJSC'!$C$48*((('2025 IR Data Book'!$A$5)))</f>
        <v>206957.25664005498</v>
      </c>
      <c r="V44" s="28">
        <f>'[15]B.S PJSC'!$C$48*((('2025 IR Data Book'!$A$5)))</f>
        <v>209922.78422522929</v>
      </c>
    </row>
    <row r="45" spans="2:22" x14ac:dyDescent="0.2">
      <c r="B45" s="45" t="s">
        <v>118</v>
      </c>
      <c r="C45" s="28">
        <f>58340*('2025 IR Data Book'!$A$5)</f>
        <v>58340</v>
      </c>
      <c r="D45" s="28">
        <f>60872*('2025 IR Data Book'!$A$5)</f>
        <v>60872</v>
      </c>
      <c r="E45" s="28">
        <f>67701*('2025 IR Data Book'!$A$5)</f>
        <v>67701</v>
      </c>
      <c r="F45" s="28">
        <f>42114*('2025 IR Data Book'!$A$5)</f>
        <v>42114</v>
      </c>
      <c r="G45" s="28">
        <f>41398*('2025 IR Data Book'!$A$5)</f>
        <v>41398</v>
      </c>
      <c r="H45" s="28">
        <f>37510.7120458181*('2025 IR Data Book'!$A$5)</f>
        <v>37510.712045818102</v>
      </c>
      <c r="I45" s="28">
        <f>31682.782300513*(('2025 IR Data Book'!$A$5))</f>
        <v>31682.782300513001</v>
      </c>
      <c r="J45" s="28">
        <f>30828*(('2025 IR Data Book'!$A$5))</f>
        <v>30828</v>
      </c>
      <c r="K45" s="28">
        <f>30172*(('2025 IR Data Book'!$A$5))</f>
        <v>30172</v>
      </c>
      <c r="L45" s="28">
        <f>32589.7197498808*((('2025 IR Data Book'!$A$5)))</f>
        <v>32589.719749880798</v>
      </c>
      <c r="M45" s="28">
        <f>32520.9410235478*((('2025 IR Data Book'!$A$5)))</f>
        <v>32520.941023547799</v>
      </c>
      <c r="N45" s="28">
        <f>'[7]B.S PJSC'!$C$46*((('2025 IR Data Book'!$A$5)))</f>
        <v>36197.741469329972</v>
      </c>
      <c r="O45" s="28">
        <f>'[8]B.S PJSC'!$C$46*((('2025 IR Data Book'!$A$5)))</f>
        <v>34304.380216095284</v>
      </c>
      <c r="P45" s="28">
        <f>'[9]B.S PJSC'!$C$49*((('2025 IR Data Book'!$A$5)))</f>
        <v>37842.599492883091</v>
      </c>
      <c r="Q45" s="28">
        <f>'[10]B.S PJSC'!$C$49*((('2025 IR Data Book'!$A$5)))</f>
        <v>42088.331721515562</v>
      </c>
      <c r="R45" s="28">
        <f>'[11]B.S PJSC'!$C$49*((('2025 IR Data Book'!$A$5)))</f>
        <v>34750.844182567729</v>
      </c>
      <c r="S45" s="28">
        <f>'[12]B.S PJSC'!$C$49*((('2025 IR Data Book'!$A$5)))</f>
        <v>35667.326684495369</v>
      </c>
      <c r="T45" s="28">
        <f>'[13]B.S PJSC'!$C$49*((('2025 IR Data Book'!$A$5)))</f>
        <v>38510.963080268171</v>
      </c>
      <c r="U45" s="28">
        <f>'[14]B.S PJSC'!$C$49*((('2025 IR Data Book'!$A$5)))</f>
        <v>39917.754189082458</v>
      </c>
      <c r="V45" s="28">
        <f>'[15]B.S PJSC'!$C$49*((('2025 IR Data Book'!$A$5)))</f>
        <v>43385.331302766615</v>
      </c>
    </row>
    <row r="46" spans="2:22" x14ac:dyDescent="0.2">
      <c r="B46" s="45" t="s">
        <v>119</v>
      </c>
      <c r="C46" s="28">
        <f>0*('2025 IR Data Book'!$A$5)</f>
        <v>0</v>
      </c>
      <c r="D46" s="28">
        <f>0*('2025 IR Data Book'!$A$5)</f>
        <v>0</v>
      </c>
      <c r="E46" s="28">
        <f>18964*('2025 IR Data Book'!$A$5)</f>
        <v>18964</v>
      </c>
      <c r="F46" s="28">
        <f>18305*('2025 IR Data Book'!$A$5)</f>
        <v>18305</v>
      </c>
      <c r="G46" s="28">
        <f>18047*('2025 IR Data Book'!$A$5)</f>
        <v>18047</v>
      </c>
      <c r="H46" s="28">
        <f>15709.402135929*('2025 IR Data Book'!$A$5)</f>
        <v>15709.402135929</v>
      </c>
      <c r="I46" s="28">
        <f>13870.2658370159*(('2025 IR Data Book'!$A$5))</f>
        <v>13870.265837015901</v>
      </c>
      <c r="J46" s="28">
        <f>15960*(('2025 IR Data Book'!$A$5))</f>
        <v>15960</v>
      </c>
      <c r="K46" s="28">
        <f>14343*(('2025 IR Data Book'!$A$5))</f>
        <v>14343</v>
      </c>
      <c r="L46" s="28">
        <f>13510.6061910751*((('2025 IR Data Book'!$A$5)))</f>
        <v>13510.6061910751</v>
      </c>
      <c r="M46" s="28">
        <f>12803.0475773521*((('2025 IR Data Book'!$A$5)))</f>
        <v>12803.047577352099</v>
      </c>
      <c r="N46" s="28">
        <f>'[7]B.S PJSC'!$C$47*((('2025 IR Data Book'!$A$5)))</f>
        <v>13001.57919601896</v>
      </c>
      <c r="O46" s="28">
        <f>'[8]B.S PJSC'!$C$47*((('2025 IR Data Book'!$A$5)))</f>
        <v>11845.790703026922</v>
      </c>
      <c r="P46" s="28">
        <f>'[9]B.S PJSC'!$C$50*((('2025 IR Data Book'!$A$5)))</f>
        <v>11590.575406102367</v>
      </c>
      <c r="Q46" s="28">
        <f>'[10]B.S PJSC'!$C$50*((('2025 IR Data Book'!$A$5)))</f>
        <v>11599.461041366812</v>
      </c>
      <c r="R46" s="28">
        <f>'[11]B.S PJSC'!$C$50*((('2025 IR Data Book'!$A$5)))</f>
        <v>9810.0899465053371</v>
      </c>
      <c r="S46" s="28">
        <f>'[12]B.S PJSC'!$C$50*((('2025 IR Data Book'!$A$5)))</f>
        <v>9498.0592556211541</v>
      </c>
      <c r="T46" s="28">
        <f>'[13]B.S PJSC'!$C$50*((('2025 IR Data Book'!$A$5)))</f>
        <v>9679.882156862006</v>
      </c>
      <c r="U46" s="28">
        <f>'[14]B.S PJSC'!$C$50*((('2025 IR Data Book'!$A$5)))</f>
        <v>12941.004134258756</v>
      </c>
      <c r="V46" s="28">
        <f>'[15]B.S PJSC'!$C$50*((('2025 IR Data Book'!$A$5)))</f>
        <v>8397.286631443214</v>
      </c>
    </row>
    <row r="47" spans="2:22" ht="15.75" thickBot="1" x14ac:dyDescent="0.3">
      <c r="C47" s="41">
        <f t="shared" ref="C47:E47" si="35">SUM(C42:C46)</f>
        <v>1035140</v>
      </c>
      <c r="D47" s="41">
        <f t="shared" si="35"/>
        <v>1079018</v>
      </c>
      <c r="E47" s="41">
        <f t="shared" si="35"/>
        <v>1107786</v>
      </c>
      <c r="F47" s="41">
        <f t="shared" ref="F47:K47" si="36">SUM(F42:F46)</f>
        <v>1101433</v>
      </c>
      <c r="G47" s="41">
        <f t="shared" si="36"/>
        <v>1089853</v>
      </c>
      <c r="H47" s="41">
        <f t="shared" si="36"/>
        <v>1122656.433191817</v>
      </c>
      <c r="I47" s="41">
        <f t="shared" si="36"/>
        <v>1084570.0908155569</v>
      </c>
      <c r="J47" s="41">
        <f t="shared" si="36"/>
        <v>2054264</v>
      </c>
      <c r="K47" s="41">
        <f t="shared" si="36"/>
        <v>2078910</v>
      </c>
      <c r="L47" s="41">
        <f t="shared" ref="L47:M47" si="37">SUM(L42:L46)</f>
        <v>2072937.8475127569</v>
      </c>
      <c r="M47" s="41">
        <f t="shared" si="37"/>
        <v>2041346.810926504</v>
      </c>
      <c r="N47" s="41">
        <f t="shared" ref="N47:O47" si="38">SUM(N42:N46)</f>
        <v>2058408.13780209</v>
      </c>
      <c r="O47" s="41">
        <f t="shared" si="38"/>
        <v>1995630.0448243364</v>
      </c>
      <c r="P47" s="41">
        <f t="shared" ref="P47:Q47" si="39">SUM(P42:P46)</f>
        <v>1921828.7114814047</v>
      </c>
      <c r="Q47" s="41">
        <f t="shared" si="39"/>
        <v>1929078.5540738138</v>
      </c>
      <c r="R47" s="41">
        <f t="shared" ref="R47:S47" si="40">SUM(R42:R46)</f>
        <v>1910073.7409046213</v>
      </c>
      <c r="S47" s="41">
        <f t="shared" si="40"/>
        <v>1875372.2611539972</v>
      </c>
      <c r="T47" s="41">
        <f t="shared" ref="T47:U47" si="41">SUM(T42:T46)</f>
        <v>1907751.3262980792</v>
      </c>
      <c r="U47" s="41">
        <f t="shared" si="41"/>
        <v>1961977.0634321086</v>
      </c>
      <c r="V47" s="41">
        <f t="shared" ref="V47" si="42">SUM(V42:V46)</f>
        <v>1988163.8574410614</v>
      </c>
    </row>
    <row r="48" spans="2:22" ht="15" x14ac:dyDescent="0.25">
      <c r="B48" s="21" t="s">
        <v>120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</row>
    <row r="49" spans="2:22" x14ac:dyDescent="0.2">
      <c r="B49" s="45" t="s">
        <v>121</v>
      </c>
      <c r="C49" s="28">
        <f>301582*('2025 IR Data Book'!$A$5)</f>
        <v>301582</v>
      </c>
      <c r="D49" s="28">
        <f>318984*('2025 IR Data Book'!$A$5)</f>
        <v>318984</v>
      </c>
      <c r="E49" s="28">
        <f>296363*('2025 IR Data Book'!$A$5)</f>
        <v>296363</v>
      </c>
      <c r="F49" s="28">
        <f>344120*('2025 IR Data Book'!$A$5)</f>
        <v>344120</v>
      </c>
      <c r="G49" s="28">
        <f>311248*('2025 IR Data Book'!$A$5)</f>
        <v>311248</v>
      </c>
      <c r="H49" s="28">
        <f>270356.066055253*('2025 IR Data Book'!$A$5)</f>
        <v>270356.06605525297</v>
      </c>
      <c r="I49" s="28">
        <f>250079.639366778*(('2025 IR Data Book'!$A$5))</f>
        <v>250079.63936677799</v>
      </c>
      <c r="J49" s="28">
        <f>324776*(('2025 IR Data Book'!$A$5))</f>
        <v>324776</v>
      </c>
      <c r="K49" s="28">
        <f>311788*(('2025 IR Data Book'!$A$5))</f>
        <v>311788</v>
      </c>
      <c r="L49" s="28">
        <f>308798.462235073*((('2025 IR Data Book'!$A$5)))</f>
        <v>308798.46223507298</v>
      </c>
      <c r="M49" s="28">
        <f>304316.87139823*((('2025 IR Data Book'!$A$5)))</f>
        <v>304316.87139823003</v>
      </c>
      <c r="N49" s="28">
        <f>'[7]B.S PJSC'!$C$51*((('2025 IR Data Book'!$A$5)))</f>
        <v>326363.56282089197</v>
      </c>
      <c r="O49" s="28">
        <f>'[8]B.S PJSC'!$C$51*((('2025 IR Data Book'!$A$5)))</f>
        <v>330174.36706142186</v>
      </c>
      <c r="P49" s="28">
        <f>'[9]B.S PJSC'!$C$54*((('2025 IR Data Book'!$A$5)))</f>
        <v>302309.07726790349</v>
      </c>
      <c r="Q49" s="28">
        <f>'[10]B.S PJSC'!$C$54*((('2025 IR Data Book'!$A$5)))</f>
        <v>320752.18352725316</v>
      </c>
      <c r="R49" s="28">
        <f>'[11]B.S PJSC'!$C$54*((('2025 IR Data Book'!$A$5)))</f>
        <v>331059.91144216328</v>
      </c>
      <c r="S49" s="28">
        <f>'[12]B.S PJSC'!$C$54*((('2025 IR Data Book'!$A$5)))</f>
        <v>346258.49663771217</v>
      </c>
      <c r="T49" s="28">
        <f>'[13]B.S PJSC'!$C$54*((('2025 IR Data Book'!$A$5)))</f>
        <v>371701.28053501202</v>
      </c>
      <c r="U49" s="28">
        <f>'[14]B.S PJSC'!$C$54*((('2025 IR Data Book'!$A$5)))</f>
        <v>362050.83928323147</v>
      </c>
      <c r="V49" s="28">
        <f>'[15]B.S PJSC'!$C$54*((('2025 IR Data Book'!$A$5)))</f>
        <v>375925.75390596857</v>
      </c>
    </row>
    <row r="50" spans="2:22" x14ac:dyDescent="0.2">
      <c r="B50" s="45" t="s">
        <v>116</v>
      </c>
      <c r="C50" s="28">
        <f>171726*('2025 IR Data Book'!$A$5)</f>
        <v>171726</v>
      </c>
      <c r="D50" s="28">
        <f>166802*('2025 IR Data Book'!$A$5)</f>
        <v>166802</v>
      </c>
      <c r="E50" s="28">
        <f>179242*('2025 IR Data Book'!$A$5)</f>
        <v>179242</v>
      </c>
      <c r="F50" s="28">
        <f>180382*('2025 IR Data Book'!$A$5)</f>
        <v>180382</v>
      </c>
      <c r="G50" s="28">
        <f>185454*('2025 IR Data Book'!$A$5)</f>
        <v>185454</v>
      </c>
      <c r="H50" s="28">
        <f>181930.801708948*('2025 IR Data Book'!$A$5)</f>
        <v>181930.80170894801</v>
      </c>
      <c r="I50" s="28">
        <f>178491.574249645*(('2025 IR Data Book'!$A$5))</f>
        <v>178491.574249645</v>
      </c>
      <c r="J50" s="28">
        <f>181687*(('2025 IR Data Book'!$A$5))</f>
        <v>181687</v>
      </c>
      <c r="K50" s="28">
        <f>185955*(('2025 IR Data Book'!$A$5))</f>
        <v>185955</v>
      </c>
      <c r="L50" s="28">
        <f>185034.134932906*((('2025 IR Data Book'!$A$5)))</f>
        <v>185034.13493290599</v>
      </c>
      <c r="M50" s="28">
        <f>177717.865379398*((('2025 IR Data Book'!$A$5)))</f>
        <v>177717.86537939799</v>
      </c>
      <c r="N50" s="28">
        <f>'[7]B.S PJSC'!$C$52*((('2025 IR Data Book'!$A$5)))</f>
        <v>176679.68501838078</v>
      </c>
      <c r="O50" s="28">
        <f>'[8]B.S PJSC'!$C$52*((('2025 IR Data Book'!$A$5)))</f>
        <v>171720.06006144168</v>
      </c>
      <c r="P50" s="28">
        <f>'[9]B.S PJSC'!$C$55*((('2025 IR Data Book'!$A$5)))</f>
        <v>173242.0666403659</v>
      </c>
      <c r="Q50" s="28">
        <f>'[10]B.S PJSC'!$C$55*((('2025 IR Data Book'!$A$5)))</f>
        <v>178457.85088868969</v>
      </c>
      <c r="R50" s="28">
        <f>'[11]B.S PJSC'!$C$55*((('2025 IR Data Book'!$A$5)))</f>
        <v>179806.15613174016</v>
      </c>
      <c r="S50" s="28">
        <f>'[12]B.S PJSC'!$C$55*((('2025 IR Data Book'!$A$5)))</f>
        <v>184519.70019504949</v>
      </c>
      <c r="T50" s="28">
        <f>'[13]B.S PJSC'!$C$55*((('2025 IR Data Book'!$A$5)))</f>
        <v>179634.95647092443</v>
      </c>
      <c r="U50" s="28">
        <f>'[14]B.S PJSC'!$C$55*((('2025 IR Data Book'!$A$5)))</f>
        <v>177526.70738236152</v>
      </c>
      <c r="V50" s="28">
        <f>'[15]B.S PJSC'!$C$55*((('2025 IR Data Book'!$A$5)))</f>
        <v>192419.17249572871</v>
      </c>
    </row>
    <row r="51" spans="2:22" x14ac:dyDescent="0.2">
      <c r="B51" s="45" t="s">
        <v>122</v>
      </c>
      <c r="C51" s="28">
        <f>145843*('2025 IR Data Book'!$A$5)</f>
        <v>145843</v>
      </c>
      <c r="D51" s="28">
        <f>155122*('2025 IR Data Book'!$A$5)</f>
        <v>155122</v>
      </c>
      <c r="E51" s="28">
        <f>170128*('2025 IR Data Book'!$A$5)</f>
        <v>170128</v>
      </c>
      <c r="F51" s="28">
        <f>153113*('2025 IR Data Book'!$A$5)</f>
        <v>153113</v>
      </c>
      <c r="G51" s="28">
        <f>156134*('2025 IR Data Book'!$A$5)</f>
        <v>156134</v>
      </c>
      <c r="H51" s="28">
        <f>136850.951749966*('2025 IR Data Book'!$A$5)</f>
        <v>136850.95174996601</v>
      </c>
      <c r="I51" s="28">
        <f>157196.561404239*(('2025 IR Data Book'!$A$5))</f>
        <v>157196.56140423901</v>
      </c>
      <c r="J51" s="28">
        <f>131353*(('2025 IR Data Book'!$A$5))</f>
        <v>131353</v>
      </c>
      <c r="K51" s="28">
        <f>41340*(('2025 IR Data Book'!$A$5))</f>
        <v>41340</v>
      </c>
      <c r="L51" s="28">
        <f>5518.31675756188*((('2025 IR Data Book'!$A$5)))</f>
        <v>5518.31675756188</v>
      </c>
      <c r="M51" s="28">
        <f>8366.59113084477*((('2025 IR Data Book'!$A$5)))</f>
        <v>8366.5911308447703</v>
      </c>
      <c r="N51" s="28">
        <f>'[7]B.S PJSC'!$C$53*((('2025 IR Data Book'!$A$5)))</f>
        <v>2847.8825614364423</v>
      </c>
      <c r="O51" s="28">
        <f>'[8]B.S PJSC'!$C$53*((('2025 IR Data Book'!$A$5)))</f>
        <v>5038.5982292214321</v>
      </c>
      <c r="P51" s="28">
        <f>'[9]B.S PJSC'!$C$56*((('2025 IR Data Book'!$A$5)))</f>
        <v>6313.947161011266</v>
      </c>
      <c r="Q51" s="28">
        <f>'[10]B.S PJSC'!$C$56*((('2025 IR Data Book'!$A$5)))</f>
        <v>5576.551437132317</v>
      </c>
      <c r="R51" s="28">
        <f>'[11]B.S PJSC'!$C$56*((('2025 IR Data Book'!$A$5)))</f>
        <v>4015.471921192533</v>
      </c>
      <c r="S51" s="28">
        <f>'[12]B.S PJSC'!$C$56*((('2025 IR Data Book'!$A$5)))</f>
        <v>7342.6133193270307</v>
      </c>
      <c r="T51" s="28">
        <f>'[13]B.S PJSC'!$C$56*((('2025 IR Data Book'!$A$5)))</f>
        <v>6889.2642089965884</v>
      </c>
      <c r="U51" s="28">
        <f>'[14]B.S PJSC'!$C$56*((('2025 IR Data Book'!$A$5)))</f>
        <v>5306.9711116004519</v>
      </c>
      <c r="V51" s="28">
        <f>'[15]B.S PJSC'!$C$56*((('2025 IR Data Book'!$A$5)))</f>
        <v>2773.2912853022258</v>
      </c>
    </row>
    <row r="52" spans="2:22" x14ac:dyDescent="0.2">
      <c r="B52" s="45" t="s">
        <v>123</v>
      </c>
      <c r="C52" s="28">
        <f>396594*('2025 IR Data Book'!$A$5)</f>
        <v>396594</v>
      </c>
      <c r="D52" s="28">
        <f>396651*('2025 IR Data Book'!$A$5)</f>
        <v>396651</v>
      </c>
      <c r="E52" s="28">
        <f>282409*('2025 IR Data Book'!$A$5)</f>
        <v>282409</v>
      </c>
      <c r="F52" s="28">
        <f>27424*('2025 IR Data Book'!$A$5)</f>
        <v>27424</v>
      </c>
      <c r="G52" s="28">
        <f>29645*('2025 IR Data Book'!$A$5)</f>
        <v>29645</v>
      </c>
      <c r="H52" s="28">
        <f>30527.0124957848*('2025 IR Data Book'!$A$5)</f>
        <v>30527.012495784798</v>
      </c>
      <c r="I52" s="28">
        <f>30784.9639042048*(('2025 IR Data Book'!$A$5))</f>
        <v>30784.9639042048</v>
      </c>
      <c r="J52" s="28">
        <f>38865*(('2025 IR Data Book'!$A$5))</f>
        <v>38865</v>
      </c>
      <c r="K52" s="28">
        <f>48483*(('2025 IR Data Book'!$A$5))</f>
        <v>48483</v>
      </c>
      <c r="L52" s="28">
        <f>50031.9790338532*((('2025 IR Data Book'!$A$5)))</f>
        <v>50031.979033853197</v>
      </c>
      <c r="M52" s="28">
        <f>48239.2246246378*((('2025 IR Data Book'!$A$5)))</f>
        <v>48239.224624637798</v>
      </c>
      <c r="N52" s="28">
        <f>'[7]B.S PJSC'!$C$54*((('2025 IR Data Book'!$A$5)))</f>
        <v>48505.220927523114</v>
      </c>
      <c r="O52" s="28">
        <f>'[8]B.S PJSC'!$C$54*((('2025 IR Data Book'!$A$5)))</f>
        <v>37827.939401332427</v>
      </c>
      <c r="P52" s="28">
        <f>'[9]B.S PJSC'!$C$57*((('2025 IR Data Book'!$A$5)))</f>
        <v>36908.809376909674</v>
      </c>
      <c r="Q52" s="28">
        <f>'[10]B.S PJSC'!$C$57*((('2025 IR Data Book'!$A$5)))</f>
        <v>37345.210871544099</v>
      </c>
      <c r="R52" s="28">
        <f>'[11]B.S PJSC'!$C$57*((('2025 IR Data Book'!$A$5)))</f>
        <v>21257.419398403159</v>
      </c>
      <c r="S52" s="28">
        <f>'[12]B.S PJSC'!$C$57*((('2025 IR Data Book'!$A$5)))</f>
        <v>19101.773008579792</v>
      </c>
      <c r="T52" s="28">
        <f>'[13]B.S PJSC'!$C$57*((('2025 IR Data Book'!$A$5)))</f>
        <v>21312.197702855192</v>
      </c>
      <c r="U52" s="28">
        <f>'[14]B.S PJSC'!$C$57*((('2025 IR Data Book'!$A$5)))</f>
        <v>22933.625423299356</v>
      </c>
      <c r="V52" s="28">
        <f>'[15]B.S PJSC'!$C$57*((('2025 IR Data Book'!$A$5)))</f>
        <v>26746.38091561287</v>
      </c>
    </row>
    <row r="53" spans="2:22" x14ac:dyDescent="0.2">
      <c r="B53" s="45" t="s">
        <v>124</v>
      </c>
      <c r="C53" s="28">
        <f>80696*('2025 IR Data Book'!$A$5)</f>
        <v>80696</v>
      </c>
      <c r="D53" s="28">
        <f>85881*('2025 IR Data Book'!$A$5)</f>
        <v>85881</v>
      </c>
      <c r="E53" s="28">
        <f>94008*('2025 IR Data Book'!$A$5)</f>
        <v>94008</v>
      </c>
      <c r="F53" s="28">
        <f>62547*('2025 IR Data Book'!$A$5)</f>
        <v>62547</v>
      </c>
      <c r="G53" s="28">
        <f>63713*('2025 IR Data Book'!$A$5)</f>
        <v>63713</v>
      </c>
      <c r="H53" s="28">
        <f>61136.7566261348*('2025 IR Data Book'!$A$5)</f>
        <v>61136.756626134797</v>
      </c>
      <c r="I53" s="28">
        <f>52704.6012868802*(('2025 IR Data Book'!$A$5))</f>
        <v>52704.601286880199</v>
      </c>
      <c r="J53" s="28">
        <f>46038*(('2025 IR Data Book'!$A$5))</f>
        <v>46038</v>
      </c>
      <c r="K53" s="28">
        <f>53500*(('2025 IR Data Book'!$A$5))</f>
        <v>53500</v>
      </c>
      <c r="L53" s="28">
        <f>41844.3929693609*((('2025 IR Data Book'!$A$5)))</f>
        <v>41844.392969360902</v>
      </c>
      <c r="M53" s="28">
        <f>37998.3247776962*((('2025 IR Data Book'!$A$5)))</f>
        <v>37998.324777696202</v>
      </c>
      <c r="N53" s="28">
        <f>'[7]B.S PJSC'!$C$55*((('2025 IR Data Book'!$A$5)))</f>
        <v>36675.583937892967</v>
      </c>
      <c r="O53" s="28">
        <f>'[8]B.S PJSC'!$C$55*((('2025 IR Data Book'!$A$5)))</f>
        <v>45965.860476819478</v>
      </c>
      <c r="P53" s="28">
        <f>'[9]B.S PJSC'!$C$58*((('2025 IR Data Book'!$A$5)))</f>
        <v>35438.521751662163</v>
      </c>
      <c r="Q53" s="28">
        <f>'[10]B.S PJSC'!$C$58*((('2025 IR Data Book'!$A$5)))</f>
        <v>33881.413865503913</v>
      </c>
      <c r="R53" s="28">
        <f>'[11]B.S PJSC'!$C$58*((('2025 IR Data Book'!$A$5)))</f>
        <v>35180.361888735199</v>
      </c>
      <c r="S53" s="28">
        <f>'[12]B.S PJSC'!$C$58*((('2025 IR Data Book'!$A$5)))</f>
        <v>41283.320832381578</v>
      </c>
      <c r="T53" s="28">
        <f>'[13]B.S PJSC'!$C$58*((('2025 IR Data Book'!$A$5)))</f>
        <v>29510.164937400441</v>
      </c>
      <c r="U53" s="28">
        <f>'[14]B.S PJSC'!$C$58*((('2025 IR Data Book'!$A$5)))</f>
        <v>31319.030406380094</v>
      </c>
      <c r="V53" s="28">
        <f>'[15]B.S PJSC'!$C$58*((('2025 IR Data Book'!$A$5)))</f>
        <v>41045.435708143799</v>
      </c>
    </row>
    <row r="54" spans="2:22" x14ac:dyDescent="0.2">
      <c r="B54" s="45" t="s">
        <v>125</v>
      </c>
      <c r="C54" s="28">
        <f>913390*('2025 IR Data Book'!$A$5)</f>
        <v>913390</v>
      </c>
      <c r="D54" s="28">
        <f>947539*('2025 IR Data Book'!$A$5)</f>
        <v>947539</v>
      </c>
      <c r="E54" s="28">
        <f>917790*('2025 IR Data Book'!$A$5)</f>
        <v>917790</v>
      </c>
      <c r="F54" s="28">
        <f>850431*('2025 IR Data Book'!$A$5)</f>
        <v>850431</v>
      </c>
      <c r="G54" s="28">
        <f>801300*('2025 IR Data Book'!$A$5)</f>
        <v>801300</v>
      </c>
      <c r="H54" s="28">
        <f>809013.043521554*('2025 IR Data Book'!$A$5)</f>
        <v>809013.04352155398</v>
      </c>
      <c r="I54" s="28">
        <f>732255.651046816*(('2025 IR Data Book'!$A$5))</f>
        <v>732255.65104681603</v>
      </c>
      <c r="J54" s="28">
        <f>792231*(('2025 IR Data Book'!$A$5))</f>
        <v>792231</v>
      </c>
      <c r="K54" s="28">
        <f>(53388+738756)*(('2025 IR Data Book'!$A$5))</f>
        <v>792144</v>
      </c>
      <c r="L54" s="28">
        <f>727768.197714132*((('2025 IR Data Book'!$A$5)))</f>
        <v>727768.19771413202</v>
      </c>
      <c r="M54" s="28">
        <f>687428.756136055*((('2025 IR Data Book'!$A$5)))</f>
        <v>687428.75613605499</v>
      </c>
      <c r="N54" s="28">
        <f>('[7]B.S PJSC'!$C$56+'[7]B.S PJSC'!$C$57)*((('2025 IR Data Book'!$A$5)))</f>
        <v>707513.72881785268</v>
      </c>
      <c r="O54" s="28">
        <f>('[8]B.S PJSC'!$C$56+'[8]B.S PJSC'!$C$57)*((('2025 IR Data Book'!$A$5)))</f>
        <v>723731.47158862953</v>
      </c>
      <c r="P54" s="28">
        <f>('[9]B.S PJSC'!$C$59+'[9]B.S PJSC'!$C$60)*((('2025 IR Data Book'!$A$5)))</f>
        <v>692200.09304901108</v>
      </c>
      <c r="Q54" s="28">
        <f>('[10]B.S PJSC'!$C$59+'[10]B.S PJSC'!$C$60)*((('2025 IR Data Book'!$A$5)))</f>
        <v>688747.77469137998</v>
      </c>
      <c r="R54" s="28">
        <f>('[11]B.S PJSC'!$C$59+'[11]B.S PJSC'!$C$60)*((('2025 IR Data Book'!$A$5)))</f>
        <v>720646.68755684106</v>
      </c>
      <c r="S54" s="28">
        <f>('[12]B.S PJSC'!$C$59+'[12]B.S PJSC'!$C$60)*((('2025 IR Data Book'!$A$5)))</f>
        <v>787093.07756365801</v>
      </c>
      <c r="T54" s="28">
        <f>('[13]B.S PJSC'!$C$59+'[13]B.S PJSC'!$C$60)*((('2025 IR Data Book'!$A$5)))</f>
        <v>684875.8295676501</v>
      </c>
      <c r="U54" s="28">
        <f>('[14]B.S PJSC'!$C$59+'[14]B.S PJSC'!$C$60)*((('2025 IR Data Book'!$A$5)))</f>
        <v>706006.76682321075</v>
      </c>
      <c r="V54" s="28">
        <f>('[15]B.S PJSC'!$C$59+'[15]B.S PJSC'!$C$60)*((('2025 IR Data Book'!$A$5)))</f>
        <v>706784.96149945492</v>
      </c>
    </row>
    <row r="55" spans="2:22" ht="15.75" thickBot="1" x14ac:dyDescent="0.3">
      <c r="C55" s="41">
        <f t="shared" ref="C55:E55" si="43">SUM(C49:C54)</f>
        <v>2009831</v>
      </c>
      <c r="D55" s="41">
        <f t="shared" si="43"/>
        <v>2070979</v>
      </c>
      <c r="E55" s="41">
        <f t="shared" si="43"/>
        <v>1939940</v>
      </c>
      <c r="F55" s="41">
        <f t="shared" ref="F55:K55" si="44">SUM(F49:F54)</f>
        <v>1618017</v>
      </c>
      <c r="G55" s="41">
        <f t="shared" si="44"/>
        <v>1547494</v>
      </c>
      <c r="H55" s="41">
        <f t="shared" si="44"/>
        <v>1489814.6321576405</v>
      </c>
      <c r="I55" s="41">
        <f t="shared" si="44"/>
        <v>1401512.991258563</v>
      </c>
      <c r="J55" s="41">
        <f t="shared" si="44"/>
        <v>1514950</v>
      </c>
      <c r="K55" s="41">
        <f t="shared" si="44"/>
        <v>1433210</v>
      </c>
      <c r="L55" s="41">
        <f t="shared" ref="L55:M55" si="45">SUM(L49:L54)</f>
        <v>1318995.4836428869</v>
      </c>
      <c r="M55" s="41">
        <f t="shared" si="45"/>
        <v>1264067.6334468618</v>
      </c>
      <c r="N55" s="41">
        <f t="shared" ref="N55:O55" si="46">SUM(N49:N54)</f>
        <v>1298585.6640839779</v>
      </c>
      <c r="O55" s="41">
        <f t="shared" si="46"/>
        <v>1314458.2968188664</v>
      </c>
      <c r="P55" s="41">
        <f t="shared" ref="P55:Q55" si="47">SUM(P49:P54)</f>
        <v>1246412.5152468635</v>
      </c>
      <c r="Q55" s="41">
        <f t="shared" si="47"/>
        <v>1264760.9852815033</v>
      </c>
      <c r="R55" s="41">
        <f t="shared" ref="R55:S55" si="48">SUM(R49:R54)</f>
        <v>1291966.0083390754</v>
      </c>
      <c r="S55" s="41">
        <f t="shared" si="48"/>
        <v>1385598.981556708</v>
      </c>
      <c r="T55" s="41">
        <f t="shared" ref="T55:U55" si="49">SUM(T49:T54)</f>
        <v>1293923.6934228388</v>
      </c>
      <c r="U55" s="41">
        <f t="shared" si="49"/>
        <v>1305143.9404300838</v>
      </c>
      <c r="V55" s="41">
        <f t="shared" ref="V55" si="50">SUM(V49:V54)</f>
        <v>1345694.9958102112</v>
      </c>
    </row>
    <row r="56" spans="2:22" x14ac:dyDescent="0.2">
      <c r="B56" s="45" t="s">
        <v>126</v>
      </c>
      <c r="C56" s="28">
        <f>93522*('2025 IR Data Book'!$A$5)</f>
        <v>93522</v>
      </c>
      <c r="D56" s="28">
        <f>91542*('2025 IR Data Book'!$A$5)</f>
        <v>91542</v>
      </c>
      <c r="E56" s="28">
        <f>4859*('2025 IR Data Book'!$A$5)</f>
        <v>4859</v>
      </c>
      <c r="F56" s="28">
        <f>4505*('2025 IR Data Book'!$A$5)</f>
        <v>4505</v>
      </c>
      <c r="G56" s="28">
        <f>2099*('2025 IR Data Book'!$A$5)</f>
        <v>2099</v>
      </c>
      <c r="H56" s="28">
        <f>1760.28422364487*('2025 IR Data Book'!$A$5)</f>
        <v>1760.2842236448701</v>
      </c>
      <c r="I56" s="28">
        <f>5838.24756504022*(('2025 IR Data Book'!$A$5))</f>
        <v>5838.2475650402203</v>
      </c>
      <c r="J56" s="28">
        <f>4907*(('2025 IR Data Book'!$A$5))</f>
        <v>4907</v>
      </c>
      <c r="K56" s="28">
        <f>4530*(('2025 IR Data Book'!$A$5))</f>
        <v>4530</v>
      </c>
      <c r="L56" s="28">
        <f>3917.65053221425*((('2025 IR Data Book'!$A$5)))</f>
        <v>3917.6505322142498</v>
      </c>
      <c r="M56" s="28">
        <f>3433.39160844164*((('2025 IR Data Book'!$A$5)))</f>
        <v>3433.3916084416401</v>
      </c>
      <c r="N56" s="28">
        <f>'[7]B.S PJSC'!$C$59*((('2025 IR Data Book'!$A$5)))</f>
        <v>2925.0663582312336</v>
      </c>
      <c r="O56" s="28">
        <f>'[8]B.S PJSC'!$C$59*((('2025 IR Data Book'!$A$5)))</f>
        <v>2560.1725490087683</v>
      </c>
      <c r="P56" s="28">
        <f>'[9]B.S PJSC'!$C$62*((('2025 IR Data Book'!$A$5)))</f>
        <v>2165.8002083786305</v>
      </c>
      <c r="Q56" s="28">
        <f>'[10]B.S PJSC'!$C$62*((('2025 IR Data Book'!$A$5)))</f>
        <v>1705.3475205304114</v>
      </c>
      <c r="R56" s="28">
        <f>'[11]B.S PJSC'!$C$62*((('2025 IR Data Book'!$A$5)))</f>
        <v>0</v>
      </c>
      <c r="S56" s="28">
        <f>'[12]B.S PJSC'!$C$62*((('2025 IR Data Book'!$A$5)))</f>
        <v>0</v>
      </c>
      <c r="T56" s="28">
        <f>'[13]B.S PJSC'!$C$62*((('2025 IR Data Book'!$A$5)))</f>
        <v>0</v>
      </c>
      <c r="U56" s="28">
        <f>'[14]B.S PJSC'!$C$62*((('2025 IR Data Book'!$A$5)))</f>
        <v>0</v>
      </c>
      <c r="V56" s="28">
        <f>'[15]B.S PJSC'!$C$62*((('2025 IR Data Book'!$A$5)))</f>
        <v>0</v>
      </c>
    </row>
    <row r="57" spans="2:22" ht="15" x14ac:dyDescent="0.25">
      <c r="B57" s="21" t="s">
        <v>127</v>
      </c>
      <c r="C57" s="43">
        <f t="shared" ref="C57:E57" si="51">C55+C56+C47</f>
        <v>3138493</v>
      </c>
      <c r="D57" s="43">
        <f t="shared" si="51"/>
        <v>3241539</v>
      </c>
      <c r="E57" s="43">
        <f t="shared" si="51"/>
        <v>3052585</v>
      </c>
      <c r="F57" s="43">
        <f t="shared" ref="F57:K57" si="52">F55+F56+F47</f>
        <v>2723955</v>
      </c>
      <c r="G57" s="43">
        <f t="shared" si="52"/>
        <v>2639446</v>
      </c>
      <c r="H57" s="43">
        <f t="shared" si="52"/>
        <v>2614231.3495731023</v>
      </c>
      <c r="I57" s="43">
        <f t="shared" si="52"/>
        <v>2491921.3296391601</v>
      </c>
      <c r="J57" s="43">
        <f t="shared" si="52"/>
        <v>3574121</v>
      </c>
      <c r="K57" s="43">
        <f t="shared" si="52"/>
        <v>3516650</v>
      </c>
      <c r="L57" s="43">
        <f t="shared" ref="L57:M57" si="53">L55+L56+L47</f>
        <v>3395850.9816878578</v>
      </c>
      <c r="M57" s="43">
        <f t="shared" si="53"/>
        <v>3308847.8359818077</v>
      </c>
      <c r="N57" s="43">
        <f t="shared" ref="N57:O57" si="54">N55+N56+N47</f>
        <v>3359918.8682442992</v>
      </c>
      <c r="O57" s="43">
        <f t="shared" si="54"/>
        <v>3312648.5141922114</v>
      </c>
      <c r="P57" s="43">
        <f t="shared" ref="P57:Q57" si="55">P55+P56+P47</f>
        <v>3170407.0269366466</v>
      </c>
      <c r="Q57" s="43">
        <f t="shared" si="55"/>
        <v>3195544.8868758474</v>
      </c>
      <c r="R57" s="43">
        <f t="shared" ref="R57:S57" si="56">R55+R56+R47</f>
        <v>3202039.7492436967</v>
      </c>
      <c r="S57" s="43">
        <f t="shared" si="56"/>
        <v>3260971.2427107049</v>
      </c>
      <c r="T57" s="43">
        <f t="shared" ref="T57:U57" si="57">T55+T56+T47</f>
        <v>3201675.019720918</v>
      </c>
      <c r="U57" s="43">
        <f t="shared" si="57"/>
        <v>3267121.0038621924</v>
      </c>
      <c r="V57" s="43">
        <f t="shared" ref="V57" si="58">V55+V56+V47</f>
        <v>3333858.8532512728</v>
      </c>
    </row>
    <row r="58" spans="2:22" ht="15.75" thickBot="1" x14ac:dyDescent="0.3">
      <c r="B58" s="21" t="s">
        <v>128</v>
      </c>
      <c r="C58" s="42">
        <f t="shared" ref="C58:E58" si="59">C57+C38</f>
        <v>5886560</v>
      </c>
      <c r="D58" s="42">
        <f t="shared" si="59"/>
        <v>5879671</v>
      </c>
      <c r="E58" s="42">
        <f t="shared" si="59"/>
        <v>5836030</v>
      </c>
      <c r="F58" s="42">
        <f t="shared" ref="F58:K58" si="60">F57+F38</f>
        <v>5399948</v>
      </c>
      <c r="G58" s="42">
        <f t="shared" si="60"/>
        <v>5326995</v>
      </c>
      <c r="H58" s="42">
        <f t="shared" si="60"/>
        <v>5148438.0342477355</v>
      </c>
      <c r="I58" s="42">
        <f t="shared" si="60"/>
        <v>5047460.7936408697</v>
      </c>
      <c r="J58" s="42">
        <f t="shared" si="60"/>
        <v>6092509</v>
      </c>
      <c r="K58" s="42">
        <f t="shared" si="60"/>
        <v>6040902.6184732197</v>
      </c>
      <c r="L58" s="42">
        <f t="shared" ref="L58:M58" si="61">L57+L38</f>
        <v>5781623.1608143812</v>
      </c>
      <c r="M58" s="42">
        <f t="shared" si="61"/>
        <v>5710231.8308832292</v>
      </c>
      <c r="N58" s="42">
        <f t="shared" ref="N58:O58" si="62">N57+N38</f>
        <v>5827839.2845130544</v>
      </c>
      <c r="O58" s="42">
        <f t="shared" si="62"/>
        <v>5801183.2079980634</v>
      </c>
      <c r="P58" s="42">
        <f t="shared" ref="P58:Q58" si="63">P57+P38</f>
        <v>5650922.8664813153</v>
      </c>
      <c r="Q58" s="42">
        <f t="shared" si="63"/>
        <v>5703794.5106806103</v>
      </c>
      <c r="R58" s="42">
        <f t="shared" ref="R58:S58" si="64">R57+R38</f>
        <v>5725620.0715074465</v>
      </c>
      <c r="S58" s="42">
        <f t="shared" si="64"/>
        <v>5809322.2249416653</v>
      </c>
      <c r="T58" s="42">
        <f t="shared" ref="T58:U58" si="65">T57+T38</f>
        <v>5728747.8197757695</v>
      </c>
      <c r="U58" s="42">
        <f t="shared" si="65"/>
        <v>5787876.7169749737</v>
      </c>
      <c r="V58" s="42">
        <f>V57+V38</f>
        <v>5896859.6602063309</v>
      </c>
    </row>
    <row r="59" spans="2:22" ht="13.5" thickTop="1" x14ac:dyDescent="0.2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2:22" x14ac:dyDescent="0.2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2:22" x14ac:dyDescent="0.2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</row>
    <row r="62" spans="2:22" x14ac:dyDescent="0.2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</row>
    <row r="64" spans="2:22" x14ac:dyDescent="0.2">
      <c r="H64" s="201"/>
      <c r="J64" s="2"/>
      <c r="N64" s="44"/>
    </row>
    <row r="65" spans="3:22" x14ac:dyDescent="0.2">
      <c r="C65" s="28"/>
      <c r="H65" s="28"/>
      <c r="J65" s="214"/>
      <c r="N65" s="214"/>
      <c r="O65" s="214"/>
      <c r="P65" s="214"/>
      <c r="Q65" s="214"/>
      <c r="R65" s="214"/>
      <c r="S65" s="214"/>
      <c r="T65" s="214"/>
      <c r="U65" s="214"/>
      <c r="V65" s="214"/>
    </row>
  </sheetData>
  <pageMargins left="0.7" right="0.7" top="0.75" bottom="0.75" header="0.3" footer="0.3"/>
  <pageSetup orientation="portrait" horizontalDpi="1200" verticalDpi="1200" r:id="rId1"/>
  <ignoredErrors>
    <ignoredError sqref="G3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3CDC0-9463-4CAE-9B07-BEAFA8E7E04A}">
  <dimension ref="A1:V84"/>
  <sheetViews>
    <sheetView showGridLines="0" workbookViewId="0">
      <pane xSplit="2" ySplit="2" topLeftCell="F17" activePane="bottomRight" state="frozen"/>
      <selection pane="topRight" activeCell="B7" sqref="B7"/>
      <selection pane="bottomLeft" activeCell="B7" sqref="B7"/>
      <selection pane="bottomRight" activeCell="V69" sqref="V69"/>
    </sheetView>
  </sheetViews>
  <sheetFormatPr defaultColWidth="9.140625" defaultRowHeight="12.75" x14ac:dyDescent="0.2"/>
  <cols>
    <col min="1" max="1" width="4.42578125" style="20" customWidth="1"/>
    <col min="2" max="2" width="57.28515625" style="45" customWidth="1"/>
    <col min="3" max="3" width="10.42578125" style="20" bestFit="1" customWidth="1"/>
    <col min="4" max="5" width="9.28515625" style="20" bestFit="1" customWidth="1"/>
    <col min="6" max="6" width="10.5703125" style="20" bestFit="1" customWidth="1"/>
    <col min="7" max="7" width="9.140625" style="20" customWidth="1"/>
    <col min="8" max="9" width="9.42578125" style="20" bestFit="1" customWidth="1"/>
    <col min="10" max="13" width="10" style="20" bestFit="1" customWidth="1"/>
    <col min="14" max="20" width="10" style="20" customWidth="1"/>
    <col min="21" max="22" width="10" style="20" bestFit="1" customWidth="1"/>
    <col min="23" max="16384" width="9.140625" style="20"/>
  </cols>
  <sheetData>
    <row r="1" spans="1:22" x14ac:dyDescent="0.2">
      <c r="A1" s="154">
        <f>'2025 IR Data Book'!$A$5</f>
        <v>1</v>
      </c>
    </row>
    <row r="2" spans="1:22" x14ac:dyDescent="0.2">
      <c r="B2" s="267" t="s">
        <v>129</v>
      </c>
      <c r="C2" s="122" t="s">
        <v>18</v>
      </c>
      <c r="D2" s="120" t="s">
        <v>19</v>
      </c>
      <c r="E2" s="122" t="s">
        <v>20</v>
      </c>
      <c r="F2" s="122" t="s">
        <v>21</v>
      </c>
      <c r="G2" s="122" t="s">
        <v>23</v>
      </c>
      <c r="H2" s="120" t="s">
        <v>24</v>
      </c>
      <c r="I2" s="120" t="s">
        <v>25</v>
      </c>
      <c r="J2" s="120" t="s">
        <v>26</v>
      </c>
      <c r="K2" s="120" t="s">
        <v>28</v>
      </c>
      <c r="L2" s="120" t="s">
        <v>29</v>
      </c>
      <c r="M2" s="120" t="s">
        <v>30</v>
      </c>
      <c r="N2" s="120" t="s">
        <v>31</v>
      </c>
      <c r="O2" s="120" t="s">
        <v>33</v>
      </c>
      <c r="P2" s="120" t="s">
        <v>34</v>
      </c>
      <c r="Q2" s="120" t="s">
        <v>35</v>
      </c>
      <c r="R2" s="120" t="s">
        <v>318</v>
      </c>
      <c r="S2" s="120" t="s">
        <v>323</v>
      </c>
      <c r="T2" s="120" t="s">
        <v>337</v>
      </c>
      <c r="U2" s="120" t="s">
        <v>343</v>
      </c>
      <c r="V2" s="120" t="s">
        <v>349</v>
      </c>
    </row>
    <row r="3" spans="1:22" x14ac:dyDescent="0.2">
      <c r="B3" s="268" t="s">
        <v>130</v>
      </c>
      <c r="C3" s="55">
        <f>69097*('2025 IR Data Book'!$A$5)</f>
        <v>69097</v>
      </c>
      <c r="D3" s="55">
        <f>159318*('2025 IR Data Book'!$A$5)</f>
        <v>159318</v>
      </c>
      <c r="E3" s="55">
        <f>215127*('2025 IR Data Book'!$A$5)</f>
        <v>215127</v>
      </c>
      <c r="F3" s="55">
        <f>262224*('2025 IR Data Book'!$A$5)</f>
        <v>262224</v>
      </c>
      <c r="G3" s="55">
        <f>66712.9745935493*('2025 IR Data Book'!$A$5)</f>
        <v>66712.974593549297</v>
      </c>
      <c r="H3" s="55">
        <f>120074*('2025 IR Data Book'!$A$5)</f>
        <v>120074</v>
      </c>
      <c r="I3" s="55">
        <f>156381.225085283*(('2025 IR Data Book'!$A$5))</f>
        <v>156381.22508528299</v>
      </c>
      <c r="J3" s="55">
        <f>186693*(('2025 IR Data Book'!$A$5))</f>
        <v>186693</v>
      </c>
      <c r="K3" s="55">
        <f>35460*(('2025 IR Data Book'!$A$5))</f>
        <v>35460</v>
      </c>
      <c r="L3" s="55">
        <f>59454.7991793601*((('2025 IR Data Book'!$A$5)))</f>
        <v>59454.799179360103</v>
      </c>
      <c r="M3" s="55">
        <f>74802.4160019296*((('2025 IR Data Book'!$A$5)))</f>
        <v>74802.416001929596</v>
      </c>
      <c r="N3" s="55">
        <f>'[7]C.F Final as Financials'!$C$9*((('2025 IR Data Book'!$A$5)))</f>
        <v>152447.97017867517</v>
      </c>
      <c r="O3" s="55">
        <f>'[8]C.F Final as Financials'!$C$9*((('2025 IR Data Book'!$A$5)))</f>
        <v>62766.222195174138</v>
      </c>
      <c r="P3" s="55">
        <f>'[9]C.F Final as Financials'!$C$9*((('2025 IR Data Book'!$A$5)))</f>
        <v>81026.666999567635</v>
      </c>
      <c r="Q3" s="55">
        <f>'[10]C.F Final as Financials'!$C$9*((('2025 IR Data Book'!$A$5)))</f>
        <v>119457.5189120509</v>
      </c>
      <c r="R3" s="55">
        <f>'[11]C.F Final as Financials'!$C$9*((('2025 IR Data Book'!$A$5)))</f>
        <v>182991.75560569105</v>
      </c>
      <c r="S3" s="55">
        <f>'[12]C.F Final as Financials'!$C$9*((('2025 IR Data Book'!$A$5)))</f>
        <v>26358.271454316127</v>
      </c>
      <c r="T3" s="55">
        <f>'[13]C.F Final as Financials'!$C$9*((('2025 IR Data Book'!$A$5)))</f>
        <v>15045.712235210132</v>
      </c>
      <c r="U3" s="55">
        <f>'[14]C.F Final as Financials'!$C$9*((('2025 IR Data Book'!$A$5)))</f>
        <v>34447.264334415187</v>
      </c>
      <c r="V3" s="55">
        <f>'[15]C.F Final as Financials'!$C$9*((('2025 IR Data Book'!$A$5)))</f>
        <v>55940.494334361814</v>
      </c>
    </row>
    <row r="4" spans="1:22" x14ac:dyDescent="0.2">
      <c r="B4" s="269" t="s">
        <v>131</v>
      </c>
      <c r="C4" s="55">
        <f>6880*('2025 IR Data Book'!$A$5)</f>
        <v>6880</v>
      </c>
      <c r="D4" s="55">
        <f>13094*('2025 IR Data Book'!$A$5)</f>
        <v>13094</v>
      </c>
      <c r="E4" s="55">
        <f>50222*('2025 IR Data Book'!$A$5)</f>
        <v>50222</v>
      </c>
      <c r="F4" s="55">
        <f>49544*('2025 IR Data Book'!$A$5)</f>
        <v>49544</v>
      </c>
      <c r="G4" s="55">
        <f>832*('2025 IR Data Book'!$A$5)</f>
        <v>832</v>
      </c>
      <c r="H4" s="55">
        <f>835*('2025 IR Data Book'!$A$5)</f>
        <v>835</v>
      </c>
      <c r="I4" s="55">
        <f>3625.53123332726*(('2025 IR Data Book'!$A$5))</f>
        <v>3625.53123332726</v>
      </c>
      <c r="J4" s="55">
        <f>4468*(('2025 IR Data Book'!$A$5))</f>
        <v>4468</v>
      </c>
      <c r="K4" s="55">
        <f>-378*(('2025 IR Data Book'!$A$5))</f>
        <v>-378</v>
      </c>
      <c r="L4" s="55">
        <f>-934.725333492155*((('2025 IR Data Book'!$A$5)))</f>
        <v>-934.72533349215496</v>
      </c>
      <c r="M4" s="55">
        <f>-1303.91316605051*((('2025 IR Data Book'!$A$5)))</f>
        <v>-1303.91316605051</v>
      </c>
      <c r="N4" s="55">
        <f>'[7]C.F Final as Financials'!$C$10*((('2025 IR Data Book'!$A$5)))</f>
        <v>-1449.8421823139593</v>
      </c>
      <c r="O4" s="55">
        <f>'[8]C.F Final as Financials'!$C$10*((('2025 IR Data Book'!$A$5)))</f>
        <v>-315.83707434320547</v>
      </c>
      <c r="P4" s="55">
        <f>'[9]C.F Final as Financials'!$C$10*((('2025 IR Data Book'!$A$5)))</f>
        <v>-612.89601338918817</v>
      </c>
      <c r="Q4" s="55">
        <f>'[10]C.F Final as Financials'!$C$10*((('2025 IR Data Book'!$A$5)))</f>
        <v>-835.958419240941</v>
      </c>
      <c r="R4" s="55">
        <f>'[11]C.F Final as Financials'!$C$10*((('2025 IR Data Book'!$A$5)))</f>
        <v>6253.2312328616608</v>
      </c>
      <c r="S4" s="55">
        <f>'[12]C.F Final as Financials'!$C$10*((('2025 IR Data Book'!$A$5)))</f>
        <v>0</v>
      </c>
      <c r="T4" s="55">
        <f>'[13]C.F Final as Financials'!$C$10*((('2025 IR Data Book'!$A$5)))</f>
        <v>0</v>
      </c>
      <c r="U4" s="55">
        <f>'[14]C.F Final as Financials'!$C$10*((('2025 IR Data Book'!$A$5)))</f>
        <v>0</v>
      </c>
      <c r="V4" s="55">
        <f>'[15]C.F Final as Financials'!$C$10*((('2025 IR Data Book'!$A$5)))</f>
        <v>0</v>
      </c>
    </row>
    <row r="5" spans="1:22" ht="15" x14ac:dyDescent="0.2">
      <c r="B5" s="270" t="s">
        <v>132</v>
      </c>
      <c r="C5" s="56">
        <f t="shared" ref="C5:H5" si="0">SUM(C3:C4)</f>
        <v>75977</v>
      </c>
      <c r="D5" s="56">
        <f t="shared" si="0"/>
        <v>172412</v>
      </c>
      <c r="E5" s="56">
        <f t="shared" si="0"/>
        <v>265349</v>
      </c>
      <c r="F5" s="56">
        <f t="shared" si="0"/>
        <v>311768</v>
      </c>
      <c r="G5" s="56">
        <f t="shared" si="0"/>
        <v>67544.974593549297</v>
      </c>
      <c r="H5" s="56">
        <f t="shared" si="0"/>
        <v>120909</v>
      </c>
      <c r="I5" s="56">
        <f t="shared" ref="I5:J5" si="1">SUM(I3:I4)</f>
        <v>160006.75631861025</v>
      </c>
      <c r="J5" s="56">
        <f t="shared" si="1"/>
        <v>191161</v>
      </c>
      <c r="K5" s="56">
        <f t="shared" ref="K5:L5" si="2">SUM(K3:K4)</f>
        <v>35082</v>
      </c>
      <c r="L5" s="56">
        <f t="shared" si="2"/>
        <v>58520.073845867948</v>
      </c>
      <c r="M5" s="56">
        <f t="shared" ref="M5:N5" si="3">SUM(M3:M4)</f>
        <v>73498.502835879088</v>
      </c>
      <c r="N5" s="56">
        <f t="shared" si="3"/>
        <v>150998.1279963612</v>
      </c>
      <c r="O5" s="56">
        <f t="shared" ref="O5:P5" si="4">SUM(O3:O4)</f>
        <v>62450.385120830935</v>
      </c>
      <c r="P5" s="56">
        <f t="shared" si="4"/>
        <v>80413.770986178453</v>
      </c>
      <c r="Q5" s="56">
        <f t="shared" ref="Q5:R5" si="5">SUM(Q3:Q4)</f>
        <v>118621.56049280996</v>
      </c>
      <c r="R5" s="56">
        <f t="shared" si="5"/>
        <v>189244.98683855272</v>
      </c>
      <c r="S5" s="56">
        <f t="shared" ref="S5:T5" si="6">SUM(S3:S4)</f>
        <v>26358.271454316127</v>
      </c>
      <c r="T5" s="56">
        <f t="shared" si="6"/>
        <v>15045.712235210132</v>
      </c>
      <c r="U5" s="56">
        <f t="shared" ref="U5:V5" si="7">SUM(U3:U4)</f>
        <v>34447.264334415187</v>
      </c>
      <c r="V5" s="56">
        <f t="shared" si="7"/>
        <v>55940.494334361814</v>
      </c>
    </row>
    <row r="6" spans="1:22" x14ac:dyDescent="0.2">
      <c r="B6" s="270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2" x14ac:dyDescent="0.2"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2" x14ac:dyDescent="0.2">
      <c r="B8" s="270" t="s">
        <v>133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</row>
    <row r="9" spans="1:22" x14ac:dyDescent="0.2">
      <c r="B9" s="45" t="s">
        <v>134</v>
      </c>
      <c r="C9" s="55">
        <f>30571*('2025 IR Data Book'!$A$5)</f>
        <v>30571</v>
      </c>
      <c r="D9" s="55">
        <f>61677*('2025 IR Data Book'!$A$5)</f>
        <v>61677</v>
      </c>
      <c r="E9" s="55">
        <f>85002*('2025 IR Data Book'!$A$5)</f>
        <v>85002</v>
      </c>
      <c r="F9" s="55">
        <f>111307*('2025 IR Data Book'!$A$5)</f>
        <v>111307</v>
      </c>
      <c r="G9" s="55">
        <f>27620*('2025 IR Data Book'!$A$5)</f>
        <v>27620</v>
      </c>
      <c r="H9" s="55">
        <f>55985*('2025 IR Data Book'!$A$5)</f>
        <v>55985</v>
      </c>
      <c r="I9" s="55">
        <f>84910.4747890224*(('2025 IR Data Book'!$A$5))</f>
        <v>84910.474789022395</v>
      </c>
      <c r="J9" s="55">
        <f>116718*(('2025 IR Data Book'!$A$5))</f>
        <v>116718</v>
      </c>
      <c r="K9" s="55">
        <f>27880*(('2025 IR Data Book'!$A$5))</f>
        <v>27880</v>
      </c>
      <c r="L9" s="55">
        <f>56012.0422289981*((('2025 IR Data Book'!$A$5)))</f>
        <v>56012.0422289981</v>
      </c>
      <c r="M9" s="55">
        <f>84328.5400628878*((('2025 IR Data Book'!$A$5)))</f>
        <v>84328.540062887798</v>
      </c>
      <c r="N9" s="55">
        <f>'[7]C.F Final as Financials'!$C$14*((('2025 IR Data Book'!$A$5)))</f>
        <v>113621.52508742501</v>
      </c>
      <c r="O9" s="55">
        <f>'[8]C.F Final as Financials'!$C$14*((('2025 IR Data Book'!$A$5)))</f>
        <v>28592.252072493553</v>
      </c>
      <c r="P9" s="55">
        <f>'[9]C.F Final as Financials'!$C$14*((('2025 IR Data Book'!$A$5)))</f>
        <v>56914.298006322519</v>
      </c>
      <c r="Q9" s="55">
        <f>'[10]C.F Final as Financials'!$C$14*((('2025 IR Data Book'!$A$5)))</f>
        <v>85927.009413395048</v>
      </c>
      <c r="R9" s="55">
        <f>'[11]C.F Final as Financials'!$C$14*((('2025 IR Data Book'!$A$5)))</f>
        <v>114958.65169965166</v>
      </c>
      <c r="S9" s="55">
        <f>'[12]C.F Final as Financials'!$C$14*((('2025 IR Data Book'!$A$5)))</f>
        <v>27725.814077214807</v>
      </c>
      <c r="T9" s="55">
        <f>'[13]C.F Final as Financials'!$C$14*((('2025 IR Data Book'!$A$5)))</f>
        <v>56640.569996217804</v>
      </c>
      <c r="U9" s="55">
        <f>'[14]C.F Final as Financials'!$C$14*((('2025 IR Data Book'!$A$5)))</f>
        <v>85913.740834730284</v>
      </c>
      <c r="V9" s="55">
        <f>'[15]C.F Final as Financials'!$C$14*((('2025 IR Data Book'!$A$5)))</f>
        <v>119833.70353155797</v>
      </c>
    </row>
    <row r="10" spans="1:22" x14ac:dyDescent="0.2">
      <c r="B10" s="45" t="s">
        <v>135</v>
      </c>
      <c r="C10" s="55">
        <f>64487*('2025 IR Data Book'!$A$5)</f>
        <v>64487</v>
      </c>
      <c r="D10" s="55">
        <f>131046*('2025 IR Data Book'!$A$5)</f>
        <v>131046</v>
      </c>
      <c r="E10" s="55">
        <f>191720*('2025 IR Data Book'!$A$5)</f>
        <v>191720</v>
      </c>
      <c r="F10" s="55">
        <f>254551*('2025 IR Data Book'!$A$5)</f>
        <v>254551</v>
      </c>
      <c r="G10" s="55">
        <f>66011*('2025 IR Data Book'!$A$5)</f>
        <v>66011</v>
      </c>
      <c r="H10" s="55">
        <f>129606*('2025 IR Data Book'!$A$5)</f>
        <v>129606</v>
      </c>
      <c r="I10" s="55">
        <f>190683.705115401*(('2025 IR Data Book'!$A$5))</f>
        <v>190683.70511540101</v>
      </c>
      <c r="J10" s="55">
        <f>248908*(('2025 IR Data Book'!$A$5))</f>
        <v>248908</v>
      </c>
      <c r="K10" s="55">
        <f>59381*(('2025 IR Data Book'!$A$5))</f>
        <v>59381</v>
      </c>
      <c r="L10" s="55">
        <f>118906.009556178*((('2025 IR Data Book'!$A$5)))</f>
        <v>118906.009556178</v>
      </c>
      <c r="M10" s="55">
        <f>176832.429751309*((('2025 IR Data Book'!$A$5)))</f>
        <v>176832.42975130901</v>
      </c>
      <c r="N10" s="55">
        <f>'[7]C.F Final as Financials'!$C$15*((('2025 IR Data Book'!$A$5)))</f>
        <v>235852.23298875414</v>
      </c>
      <c r="O10" s="55">
        <f>'[8]C.F Final as Financials'!$C$15*((('2025 IR Data Book'!$A$5)))</f>
        <v>57192.491273514497</v>
      </c>
      <c r="P10" s="55">
        <f>'[9]C.F Final as Financials'!$C$15*((('2025 IR Data Book'!$A$5)))</f>
        <v>113790.12397352007</v>
      </c>
      <c r="Q10" s="55">
        <f>'[10]C.F Final as Financials'!$C$15*((('2025 IR Data Book'!$A$5)))</f>
        <v>170376.02728595299</v>
      </c>
      <c r="R10" s="55">
        <f>'[11]C.F Final as Financials'!$C$15*((('2025 IR Data Book'!$A$5)))</f>
        <v>224527.82794584995</v>
      </c>
      <c r="S10" s="55">
        <f>'[12]C.F Final as Financials'!$C$15*((('2025 IR Data Book'!$A$5)))</f>
        <v>54771.22724738442</v>
      </c>
      <c r="T10" s="55">
        <f>'[13]C.F Final as Financials'!$C$15*((('2025 IR Data Book'!$A$5)))</f>
        <v>110929.77008206124</v>
      </c>
      <c r="U10" s="55">
        <f>'[14]C.F Final as Financials'!$C$15*((('2025 IR Data Book'!$A$5)))</f>
        <v>177815.69356867092</v>
      </c>
      <c r="V10" s="55">
        <f>'[15]C.F Final as Financials'!$C$15*((('2025 IR Data Book'!$A$5)))</f>
        <v>242159.44467961942</v>
      </c>
    </row>
    <row r="11" spans="1:22" x14ac:dyDescent="0.2">
      <c r="B11" s="45" t="s">
        <v>136</v>
      </c>
      <c r="C11" s="55">
        <f>2222*('2025 IR Data Book'!$A$5)</f>
        <v>2222</v>
      </c>
      <c r="D11" s="55">
        <f>4442*('2025 IR Data Book'!$A$5)</f>
        <v>4442</v>
      </c>
      <c r="E11" s="55">
        <f>4371*('2025 IR Data Book'!$A$5)</f>
        <v>4371</v>
      </c>
      <c r="F11" s="55">
        <f>5064*('2025 IR Data Book'!$A$5)</f>
        <v>5064</v>
      </c>
      <c r="G11" s="55">
        <f>692*('2025 IR Data Book'!$A$5)</f>
        <v>692</v>
      </c>
      <c r="H11" s="55">
        <f>1383*('2025 IR Data Book'!$A$5)</f>
        <v>1383</v>
      </c>
      <c r="I11" s="55">
        <f>2071.70134298803*(('2025 IR Data Book'!$A$5))</f>
        <v>2071.7013429880299</v>
      </c>
      <c r="J11" s="55">
        <f>5008.2679770988*(('2025 IR Data Book'!$A$5))</f>
        <v>5008.2679770987997</v>
      </c>
      <c r="K11" s="55">
        <f>3398*(('2025 IR Data Book'!$A$5))</f>
        <v>3398</v>
      </c>
      <c r="L11" s="55">
        <f>6784.06975706258*((('2025 IR Data Book'!$A$5)))</f>
        <v>6784.0697570625798</v>
      </c>
      <c r="M11" s="55">
        <f>10170.6403916565*((('2025 IR Data Book'!$A$5)))</f>
        <v>10170.6403916565</v>
      </c>
      <c r="N11" s="55">
        <f>'[7]C.F Final as Financials'!$C$16*((('2025 IR Data Book'!$A$5)))</f>
        <v>13562.684546823964</v>
      </c>
      <c r="O11" s="55">
        <f>'[8]C.F Final as Financials'!$C$16*((('2025 IR Data Book'!$A$5)))</f>
        <v>3471.7888127689116</v>
      </c>
      <c r="P11" s="55">
        <f>'[9]C.F Final as Financials'!$C$16*((('2025 IR Data Book'!$A$5)))</f>
        <v>7009.6181384849451</v>
      </c>
      <c r="Q11" s="55">
        <f>'[10]C.F Final as Financials'!$C$16*((('2025 IR Data Book'!$A$5)))</f>
        <v>10549.40858979654</v>
      </c>
      <c r="R11" s="55">
        <f>'[11]C.F Final as Financials'!$C$16*((('2025 IR Data Book'!$A$5)))</f>
        <v>14142.0149835435</v>
      </c>
      <c r="S11" s="55">
        <f>'[12]C.F Final as Financials'!$C$16*((('2025 IR Data Book'!$A$5)))</f>
        <v>3547.4807472162383</v>
      </c>
      <c r="T11" s="55">
        <f>'[13]C.F Final as Financials'!$C$16*((('2025 IR Data Book'!$A$5)))</f>
        <v>7141.3905306182132</v>
      </c>
      <c r="U11" s="55">
        <f>'[14]C.F Final as Financials'!$C$16*((('2025 IR Data Book'!$A$5)))</f>
        <v>10692.471046110064</v>
      </c>
      <c r="V11" s="55">
        <f>'[15]C.F Final as Financials'!$C$16*((('2025 IR Data Book'!$A$5)))</f>
        <v>14244.264767390483</v>
      </c>
    </row>
    <row r="12" spans="1:22" x14ac:dyDescent="0.2">
      <c r="B12" s="45" t="s">
        <v>137</v>
      </c>
      <c r="C12" s="55">
        <f>8206*('2025 IR Data Book'!$A$5)</f>
        <v>8206</v>
      </c>
      <c r="D12" s="55">
        <f>22690*('2025 IR Data Book'!$A$5)</f>
        <v>22690</v>
      </c>
      <c r="E12" s="55">
        <f>26981*('2025 IR Data Book'!$A$5)</f>
        <v>26981</v>
      </c>
      <c r="F12" s="55">
        <f>33813*('2025 IR Data Book'!$A$5)</f>
        <v>33813</v>
      </c>
      <c r="G12" s="55">
        <f>6035*('2025 IR Data Book'!$A$5)</f>
        <v>6035</v>
      </c>
      <c r="H12" s="55">
        <f>17071*('2025 IR Data Book'!$A$5)</f>
        <v>17071</v>
      </c>
      <c r="I12" s="55">
        <f>25399.0220645702*(('2025 IR Data Book'!$A$5))</f>
        <v>25399.022064570199</v>
      </c>
      <c r="J12" s="55">
        <f>35066.073473054*(('2025 IR Data Book'!$A$5))</f>
        <v>35066.073473053999</v>
      </c>
      <c r="K12" s="55">
        <f>6861*(('2025 IR Data Book'!$A$5))</f>
        <v>6861</v>
      </c>
      <c r="L12" s="55">
        <f>14902.9169305832*((('2025 IR Data Book'!$A$5)))</f>
        <v>14902.9169305832</v>
      </c>
      <c r="M12" s="55">
        <f>25008.3429843385*((('2025 IR Data Book'!$A$5)))</f>
        <v>25008.342984338498</v>
      </c>
      <c r="N12" s="55">
        <f>'[7]C.F Final as Financials'!$C$17*((('2025 IR Data Book'!$A$5)))</f>
        <v>33757.807371225666</v>
      </c>
      <c r="O12" s="55">
        <f>'[8]C.F Final as Financials'!$C$17*((('2025 IR Data Book'!$A$5)))</f>
        <v>11455.756728560737</v>
      </c>
      <c r="P12" s="55">
        <f>'[9]C.F Final as Financials'!$C$17*((('2025 IR Data Book'!$A$5)))</f>
        <v>19358.317578848691</v>
      </c>
      <c r="Q12" s="55">
        <f>'[10]C.F Final as Financials'!$C$17*((('2025 IR Data Book'!$A$5)))</f>
        <v>35331.19019485938</v>
      </c>
      <c r="R12" s="55">
        <f>'[11]C.F Final as Financials'!$C$17*((('2025 IR Data Book'!$A$5)))</f>
        <v>45936.092205533896</v>
      </c>
      <c r="S12" s="55">
        <f>'[12]C.F Final as Financials'!$C$17*((('2025 IR Data Book'!$A$5)))</f>
        <v>7489.641325043186</v>
      </c>
      <c r="T12" s="55">
        <f>'[13]C.F Final as Financials'!$C$17*((('2025 IR Data Book'!$A$5)))</f>
        <v>10851.297565144669</v>
      </c>
      <c r="U12" s="55">
        <f>'[14]C.F Final as Financials'!$C$17*((('2025 IR Data Book'!$A$5)))</f>
        <v>24233.969746092149</v>
      </c>
      <c r="V12" s="55">
        <f>'[15]C.F Final as Financials'!$C$17*((('2025 IR Data Book'!$A$5)))</f>
        <v>35531.310557546603</v>
      </c>
    </row>
    <row r="13" spans="1:22" x14ac:dyDescent="0.2">
      <c r="B13" s="45" t="s">
        <v>138</v>
      </c>
      <c r="C13" s="55">
        <f>3787*('2025 IR Data Book'!$A$5)</f>
        <v>3787</v>
      </c>
      <c r="D13" s="55">
        <f>13626*('2025 IR Data Book'!$A$5)</f>
        <v>13626</v>
      </c>
      <c r="E13" s="55">
        <f>17804*('2025 IR Data Book'!$A$5)</f>
        <v>17804</v>
      </c>
      <c r="F13" s="55">
        <f>15760*('2025 IR Data Book'!$A$5)</f>
        <v>15760</v>
      </c>
      <c r="G13" s="55">
        <f>4942*('2025 IR Data Book'!$A$5)</f>
        <v>4942</v>
      </c>
      <c r="H13" s="55">
        <f>9760*('2025 IR Data Book'!$A$5)</f>
        <v>9760</v>
      </c>
      <c r="I13" s="55">
        <f>13128.1258975919*(('2025 IR Data Book'!$A$5))</f>
        <v>13128.125897591901</v>
      </c>
      <c r="J13" s="55">
        <f>15493.0549690409*(('2025 IR Data Book'!$A$5))</f>
        <v>15493.054969040901</v>
      </c>
      <c r="K13" s="55">
        <f>13019*(('2025 IR Data Book'!$A$5))</f>
        <v>13019</v>
      </c>
      <c r="L13" s="55">
        <f>13725.9425735088*((('2025 IR Data Book'!$A$5)))</f>
        <v>13725.942573508801</v>
      </c>
      <c r="M13" s="55">
        <f>16152.9508360513*((('2025 IR Data Book'!$A$5)))</f>
        <v>16152.950836051299</v>
      </c>
      <c r="N13" s="55">
        <f>'[7]C.F Final as Financials'!$C$18*((('2025 IR Data Book'!$A$5)))</f>
        <v>20157.72931076384</v>
      </c>
      <c r="O13" s="55">
        <f>'[8]C.F Final as Financials'!$C$18*((('2025 IR Data Book'!$A$5)))</f>
        <v>5950.4228101650669</v>
      </c>
      <c r="P13" s="55">
        <f>'[9]C.F Final as Financials'!$C$18*((('2025 IR Data Book'!$A$5)))</f>
        <v>10414.42926074065</v>
      </c>
      <c r="Q13" s="55">
        <f>'[10]C.F Final as Financials'!$C$18*((('2025 IR Data Book'!$A$5)))</f>
        <v>12332.440807536885</v>
      </c>
      <c r="R13" s="55">
        <f>'[11]C.F Final as Financials'!$C$18*((('2025 IR Data Book'!$A$5)))</f>
        <v>-6748.6167004108584</v>
      </c>
      <c r="S13" s="55">
        <f>'[12]C.F Final as Financials'!$C$18*((('2025 IR Data Book'!$A$5)))</f>
        <v>3873.3543327782586</v>
      </c>
      <c r="T13" s="55">
        <f>'[13]C.F Final as Financials'!$C$18*((('2025 IR Data Book'!$A$5)))</f>
        <v>9588.6202643045672</v>
      </c>
      <c r="U13" s="55">
        <f>'[14]C.F Final as Financials'!$C$18*((('2025 IR Data Book'!$A$5)))</f>
        <v>10898.401562902021</v>
      </c>
      <c r="V13" s="55">
        <f>'[15]C.F Final as Financials'!$C$18*((('2025 IR Data Book'!$A$5)))</f>
        <v>18373.496337687429</v>
      </c>
    </row>
    <row r="14" spans="1:22" x14ac:dyDescent="0.2">
      <c r="B14" s="45" t="s">
        <v>139</v>
      </c>
      <c r="C14" s="55">
        <f>1295*('2025 IR Data Book'!$A$5)</f>
        <v>1295</v>
      </c>
      <c r="D14" s="55">
        <f>3502*('2025 IR Data Book'!$A$5)</f>
        <v>3502</v>
      </c>
      <c r="E14" s="55">
        <f>(10624-5047)*('2025 IR Data Book'!$A$5)</f>
        <v>5577</v>
      </c>
      <c r="F14" s="55">
        <f>6906*('2025 IR Data Book'!$A$5)</f>
        <v>6906</v>
      </c>
      <c r="G14" s="55">
        <f>1523*('2025 IR Data Book'!$A$5)</f>
        <v>1523</v>
      </c>
      <c r="H14" s="55">
        <f>3532*('2025 IR Data Book'!$A$5)</f>
        <v>3532</v>
      </c>
      <c r="I14" s="55">
        <f>7151.95334604811*(('2025 IR Data Book'!$A$5))</f>
        <v>7151.9533460481098</v>
      </c>
      <c r="J14" s="55">
        <f>21497.4551751129*(('2025 IR Data Book'!$A$5))</f>
        <v>21497.4551751129</v>
      </c>
      <c r="K14" s="55">
        <f>(18787-2436)*(('2025 IR Data Book'!$A$5))</f>
        <v>16351</v>
      </c>
      <c r="L14" s="55">
        <f>34561.6140347325*((('2025 IR Data Book'!$A$5)))</f>
        <v>34561.614034732498</v>
      </c>
      <c r="M14" s="55">
        <f>53425.8228579785*((('2025 IR Data Book'!$A$5)))</f>
        <v>53425.822857978499</v>
      </c>
      <c r="N14" s="55">
        <f>'[7]C.F Final as Financials'!$C$19*((('2025 IR Data Book'!$A$5)))</f>
        <v>70389.471799009159</v>
      </c>
      <c r="O14" s="55">
        <f>'[8]C.F Final as Financials'!$C$19*((('2025 IR Data Book'!$A$5)))</f>
        <v>17569.459086268966</v>
      </c>
      <c r="P14" s="55">
        <f>'[9]C.F Final as Financials'!$C$19*((('2025 IR Data Book'!$A$5)))</f>
        <v>33758.438167513057</v>
      </c>
      <c r="Q14" s="55">
        <f>'[10]C.F Final as Financials'!$C$19*((('2025 IR Data Book'!$A$5)))</f>
        <v>49460.694603918077</v>
      </c>
      <c r="R14" s="55">
        <f>'[11]C.F Final as Financials'!$C$19*((('2025 IR Data Book'!$A$5)))</f>
        <v>63858.006893767277</v>
      </c>
      <c r="S14" s="55">
        <f>'[12]C.F Final as Financials'!$C$19*((('2025 IR Data Book'!$A$5)))</f>
        <v>12772.511731785513</v>
      </c>
      <c r="T14" s="55">
        <f>'[13]C.F Final as Financials'!$C$19*((('2025 IR Data Book'!$A$5)))</f>
        <v>25091.279326225093</v>
      </c>
      <c r="U14" s="55">
        <f>'[14]C.F Final as Financials'!$C$19*((('2025 IR Data Book'!$A$5)))</f>
        <v>37504.61643188091</v>
      </c>
      <c r="V14" s="55">
        <f>'[15]C.F Final as Financials'!$C$19*((('2025 IR Data Book'!$A$5)))</f>
        <v>48044.925996707963</v>
      </c>
    </row>
    <row r="15" spans="1:22" x14ac:dyDescent="0.2">
      <c r="B15" s="45" t="s">
        <v>140</v>
      </c>
      <c r="C15" s="55">
        <f>12450*('2025 IR Data Book'!$A$5)</f>
        <v>12450</v>
      </c>
      <c r="D15" s="55">
        <f>24823*('2025 IR Data Book'!$A$5)</f>
        <v>24823</v>
      </c>
      <c r="E15" s="55">
        <f>35784*('2025 IR Data Book'!$A$5)</f>
        <v>35784</v>
      </c>
      <c r="F15" s="55">
        <f>47106*('2025 IR Data Book'!$A$5)</f>
        <v>47106</v>
      </c>
      <c r="G15" s="55">
        <f>10353*('2025 IR Data Book'!$A$5)</f>
        <v>10353</v>
      </c>
      <c r="H15" s="55">
        <f>22724*('2025 IR Data Book'!$A$5)</f>
        <v>22724</v>
      </c>
      <c r="I15" s="55">
        <f>34714.0856193912*(('2025 IR Data Book'!$A$5))</f>
        <v>34714.085619391197</v>
      </c>
      <c r="J15" s="55">
        <f>46504.5748904509*(('2025 IR Data Book'!$A$5))</f>
        <v>46504.574890450902</v>
      </c>
      <c r="K15" s="55">
        <f>11734*(('2025 IR Data Book'!$A$5))</f>
        <v>11734</v>
      </c>
      <c r="L15" s="55">
        <f>24305.8386138711*((('2025 IR Data Book'!$A$5)))</f>
        <v>24305.838613871099</v>
      </c>
      <c r="M15" s="55">
        <f>36677.4558981637*((('2025 IR Data Book'!$A$5)))</f>
        <v>36677.455898163702</v>
      </c>
      <c r="N15" s="55">
        <f>'[7]C.F Final as Financials'!$C$20*((('2025 IR Data Book'!$A$5)))</f>
        <v>49582.444086265794</v>
      </c>
      <c r="O15" s="55">
        <f>'[8]C.F Final as Financials'!$C$20*((('2025 IR Data Book'!$A$5)))</f>
        <v>12795.886280829363</v>
      </c>
      <c r="P15" s="55">
        <f>'[9]C.F Final as Financials'!$C$20*((('2025 IR Data Book'!$A$5)))</f>
        <v>25556.048840527037</v>
      </c>
      <c r="Q15" s="55">
        <f>'[10]C.F Final as Financials'!$C$20*((('2025 IR Data Book'!$A$5)))</f>
        <v>38799.041966364734</v>
      </c>
      <c r="R15" s="55">
        <f>'[11]C.F Final as Financials'!$C$20*((('2025 IR Data Book'!$A$5)))</f>
        <v>52360.425201147576</v>
      </c>
      <c r="S15" s="55">
        <f>'[12]C.F Final as Financials'!$C$20*((('2025 IR Data Book'!$A$5)))</f>
        <v>13762.586078476774</v>
      </c>
      <c r="T15" s="55">
        <f>'[13]C.F Final as Financials'!$C$20*((('2025 IR Data Book'!$A$5)))</f>
        <v>27713.541129841131</v>
      </c>
      <c r="U15" s="55">
        <f>'[14]C.F Final as Financials'!$C$20*((('2025 IR Data Book'!$A$5)))</f>
        <v>47070.818656700096</v>
      </c>
      <c r="V15" s="55">
        <f>'[15]C.F Final as Financials'!$C$20*((('2025 IR Data Book'!$A$5)))</f>
        <v>63997.361240675062</v>
      </c>
    </row>
    <row r="16" spans="1:22" x14ac:dyDescent="0.2">
      <c r="B16" s="45" t="s">
        <v>141</v>
      </c>
      <c r="C16" s="55">
        <f>-2685*('2025 IR Data Book'!$A$5)</f>
        <v>-2685</v>
      </c>
      <c r="D16" s="55">
        <f>-7293*('2025 IR Data Book'!$A$5)</f>
        <v>-7293</v>
      </c>
      <c r="E16" s="55">
        <f>-9205*('2025 IR Data Book'!$A$5)</f>
        <v>-9205</v>
      </c>
      <c r="F16" s="55">
        <f>-10232*('2025 IR Data Book'!$A$5)</f>
        <v>-10232</v>
      </c>
      <c r="G16" s="55">
        <f>-3556*('2025 IR Data Book'!$A$5)</f>
        <v>-3556</v>
      </c>
      <c r="H16" s="55">
        <f>-7720*('2025 IR Data Book'!$A$5)</f>
        <v>-7720</v>
      </c>
      <c r="I16" s="55">
        <f>-8664.694177561*(('2025 IR Data Book'!$A$5))</f>
        <v>-8664.6941775609994</v>
      </c>
      <c r="J16" s="55">
        <f>-9203*(('2025 IR Data Book'!$A$5))</f>
        <v>-9203</v>
      </c>
      <c r="K16" s="55">
        <f>-490*(('2025 IR Data Book'!$A$5))</f>
        <v>-490</v>
      </c>
      <c r="L16" s="55">
        <f>-2456.91341653989*((('2025 IR Data Book'!$A$5)))</f>
        <v>-2456.91341653989</v>
      </c>
      <c r="M16" s="55">
        <f>-4287.90446261206*((('2025 IR Data Book'!$A$5)))</f>
        <v>-4287.9044626120603</v>
      </c>
      <c r="N16" s="55">
        <f>'[7]C.F Final as Financials'!$C$21*((('2025 IR Data Book'!$A$5)))</f>
        <v>-5572.1588299032837</v>
      </c>
      <c r="O16" s="55">
        <f>'[8]C.F Final as Financials'!$C$21*((('2025 IR Data Book'!$A$5)))</f>
        <v>-691.53127061743362</v>
      </c>
      <c r="P16" s="55">
        <f>'[9]C.F Final as Financials'!$C$21*((('2025 IR Data Book'!$A$5)))</f>
        <v>-911.7029761934923</v>
      </c>
      <c r="Q16" s="55">
        <f>'[10]C.F Final as Financials'!$C$21*((('2025 IR Data Book'!$A$5)))</f>
        <v>-144.52905075367516</v>
      </c>
      <c r="R16" s="55">
        <f>'[11]C.F Final as Financials'!$C$21*((('2025 IR Data Book'!$A$5)))</f>
        <v>-2534.4760352847388</v>
      </c>
      <c r="S16" s="55">
        <f>'[12]C.F Final as Financials'!$C$21*((('2025 IR Data Book'!$A$5)))</f>
        <v>-146.92237744178507</v>
      </c>
      <c r="T16" s="55">
        <f>'[13]C.F Final as Financials'!$C$21*((('2025 IR Data Book'!$A$5)))</f>
        <v>891.67146743922444</v>
      </c>
      <c r="U16" s="55">
        <f>'[14]C.F Final as Financials'!$C$21*((('2025 IR Data Book'!$A$5)))</f>
        <v>2506.1519962328466</v>
      </c>
      <c r="V16" s="55">
        <f>'[15]C.F Final as Financials'!$C$21*((('2025 IR Data Book'!$A$5)))</f>
        <v>4830.8165636799467</v>
      </c>
    </row>
    <row r="17" spans="2:22" x14ac:dyDescent="0.2">
      <c r="B17" s="45" t="s">
        <v>142</v>
      </c>
      <c r="C17" s="55">
        <f>0*('2025 IR Data Book'!$A$5)</f>
        <v>0</v>
      </c>
      <c r="D17" s="55">
        <f>0*('2025 IR Data Book'!$A$5)</f>
        <v>0</v>
      </c>
      <c r="E17" s="55">
        <f>0*('2025 IR Data Book'!$A$5)</f>
        <v>0</v>
      </c>
      <c r="F17" s="55">
        <f>2975*('2025 IR Data Book'!$A$5)</f>
        <v>2975</v>
      </c>
      <c r="G17" s="55">
        <f>0*('2025 IR Data Book'!$A$5)</f>
        <v>0</v>
      </c>
      <c r="H17" s="55">
        <f>0*('2025 IR Data Book'!$A$5)</f>
        <v>0</v>
      </c>
      <c r="I17" s="55">
        <f>0*(('2025 IR Data Book'!$A$5))</f>
        <v>0</v>
      </c>
      <c r="J17" s="55">
        <f>0*(('2025 IR Data Book'!$A$5))</f>
        <v>0</v>
      </c>
      <c r="K17" s="55">
        <f>0*(('2025 IR Data Book'!$A$5))</f>
        <v>0</v>
      </c>
      <c r="L17" s="55">
        <f>0*((('2025 IR Data Book'!$A$5)))</f>
        <v>0</v>
      </c>
      <c r="M17" s="55">
        <f>0*((('2025 IR Data Book'!$A$5)))</f>
        <v>0</v>
      </c>
      <c r="N17" s="55">
        <f>0*((('2025 IR Data Book'!$A$5)))</f>
        <v>0</v>
      </c>
      <c r="O17" s="55">
        <f>0*((('2025 IR Data Book'!$A$5)))</f>
        <v>0</v>
      </c>
      <c r="P17" s="55">
        <f>0*((('2025 IR Data Book'!$A$5)))</f>
        <v>0</v>
      </c>
      <c r="Q17" s="55">
        <f>0*((('2025 IR Data Book'!$A$5)))</f>
        <v>0</v>
      </c>
      <c r="R17" s="55">
        <f>0*((('2025 IR Data Book'!$A$5)))</f>
        <v>0</v>
      </c>
      <c r="S17" s="55">
        <f>0*((('2025 IR Data Book'!$A$5)))</f>
        <v>0</v>
      </c>
      <c r="T17" s="55">
        <f>0*((('2025 IR Data Book'!$A$5)))</f>
        <v>0</v>
      </c>
      <c r="U17" s="55">
        <f>0*((('2025 IR Data Book'!$A$5)))</f>
        <v>0</v>
      </c>
      <c r="V17" s="55">
        <f>'[15]C.F Final as Financials'!$C$22*((('2025 IR Data Book'!$A$5)))</f>
        <v>2567.4265175999999</v>
      </c>
    </row>
    <row r="18" spans="2:22" x14ac:dyDescent="0.2">
      <c r="B18" s="45" t="s">
        <v>143</v>
      </c>
      <c r="C18" s="55">
        <f>-1616*('2025 IR Data Book'!$A$5)</f>
        <v>-1616</v>
      </c>
      <c r="D18" s="55">
        <f>-1824*('2025 IR Data Book'!$A$5)</f>
        <v>-1824</v>
      </c>
      <c r="E18" s="55">
        <f>-1618*('2025 IR Data Book'!$A$5)</f>
        <v>-1618</v>
      </c>
      <c r="F18" s="55">
        <f>-413*('2025 IR Data Book'!$A$5)</f>
        <v>-413</v>
      </c>
      <c r="G18" s="55">
        <f>4901*('2025 IR Data Book'!$A$5)</f>
        <v>4901</v>
      </c>
      <c r="H18" s="55">
        <f>10897*('2025 IR Data Book'!$A$5)</f>
        <v>10897</v>
      </c>
      <c r="I18" s="55">
        <f>10570.1545938648*(('2025 IR Data Book'!$A$5))</f>
        <v>10570.1545938648</v>
      </c>
      <c r="J18" s="55">
        <f>12143*(('2025 IR Data Book'!$A$5))</f>
        <v>12143</v>
      </c>
      <c r="K18" s="55">
        <f>171*(('2025 IR Data Book'!$A$5))</f>
        <v>171</v>
      </c>
      <c r="L18" s="55">
        <f>101.235001725067*((('2025 IR Data Book'!$A$5)))</f>
        <v>101.23500172506699</v>
      </c>
      <c r="M18" s="55">
        <f>388.121893335175*((('2025 IR Data Book'!$A$5)))</f>
        <v>388.121893335175</v>
      </c>
      <c r="N18" s="55">
        <f>'[7]C.F Final as Financials'!$C$23*((('2025 IR Data Book'!$A$5)))</f>
        <v>1160.2158707363099</v>
      </c>
      <c r="O18" s="55">
        <f>'[8]C.F Final as Financials'!$C$23*((('2025 IR Data Book'!$A$5)))</f>
        <v>-158.85445557643763</v>
      </c>
      <c r="P18" s="55">
        <f>'[9]C.F Final as Financials'!$C$23*((('2025 IR Data Book'!$A$5)))</f>
        <v>21.551893239883473</v>
      </c>
      <c r="Q18" s="55">
        <f>'[10]C.F Final as Financials'!$C$23*((('2025 IR Data Book'!$A$5)))</f>
        <v>270.28476258608026</v>
      </c>
      <c r="R18" s="55">
        <f>'[11]C.F Final as Financials'!$C$23*((('2025 IR Data Book'!$A$5)))</f>
        <v>-96.037742555017118</v>
      </c>
      <c r="S18" s="55">
        <f>'[12]C.F Final as Financials'!$C$23*((('2025 IR Data Book'!$A$5)))</f>
        <v>-58.602319925073594</v>
      </c>
      <c r="T18" s="55">
        <f>'[13]C.F Final as Financials'!$C$23*((('2025 IR Data Book'!$A$5)))</f>
        <v>135.87677673644527</v>
      </c>
      <c r="U18" s="55">
        <f>'[14]C.F Final as Financials'!$C$23*((('2025 IR Data Book'!$A$5)))</f>
        <v>-210.71598082279425</v>
      </c>
      <c r="V18" s="55">
        <f>'[15]C.F Final as Financials'!$C$23*((('2025 IR Data Book'!$A$5)))</f>
        <v>-67.090592157747125</v>
      </c>
    </row>
    <row r="19" spans="2:22" x14ac:dyDescent="0.2">
      <c r="B19" s="45" t="s">
        <v>144</v>
      </c>
      <c r="C19" s="55">
        <f>0*('2025 IR Data Book'!$A$5)</f>
        <v>0</v>
      </c>
      <c r="D19" s="55">
        <f>0*('2025 IR Data Book'!$A$5)</f>
        <v>0</v>
      </c>
      <c r="E19" s="55">
        <f>-31608*('2025 IR Data Book'!$A$5)</f>
        <v>-31608</v>
      </c>
      <c r="F19" s="55">
        <f>-31608*('2025 IR Data Book'!$A$5)</f>
        <v>-31608</v>
      </c>
      <c r="G19" s="55">
        <f>-800*('2025 IR Data Book'!$A$5)</f>
        <v>-800</v>
      </c>
      <c r="H19" s="55">
        <f>-800*('2025 IR Data Book'!$A$5)</f>
        <v>-800</v>
      </c>
      <c r="I19" s="55">
        <f>-2320.954659*(('2025 IR Data Book'!$A$5))</f>
        <v>-2320.954659</v>
      </c>
      <c r="J19" s="55">
        <f>-3515*(('2025 IR Data Book'!$A$5))</f>
        <v>-3515</v>
      </c>
      <c r="K19" s="55">
        <f>0*(('2025 IR Data Book'!$A$5))</f>
        <v>0</v>
      </c>
      <c r="L19" s="55">
        <f>0*((('2025 IR Data Book'!$A$5)))</f>
        <v>0</v>
      </c>
      <c r="M19" s="55">
        <f>0*((('2025 IR Data Book'!$A$5)))</f>
        <v>0</v>
      </c>
      <c r="N19" s="55">
        <f>'[7]C.F Final as Financials'!$C$24*((('2025 IR Data Book'!$A$5)))</f>
        <v>0</v>
      </c>
      <c r="O19" s="55">
        <f>'[8]C.F Final as Financials'!$C$24*((('2025 IR Data Book'!$A$5)))</f>
        <v>0</v>
      </c>
      <c r="P19" s="55">
        <f>'[9]C.F Final as Financials'!$C$24*((('2025 IR Data Book'!$A$5)))</f>
        <v>0</v>
      </c>
      <c r="Q19" s="55">
        <f>'[10]C.F Final as Financials'!$C$24*((('2025 IR Data Book'!$A$5)))</f>
        <v>0</v>
      </c>
      <c r="R19" s="196">
        <f>+'[11]C.F Final as Financials'!$C$24*((('2025 IR Data Book'!$A$5)))</f>
        <v>-7041.7959369119999</v>
      </c>
      <c r="S19" s="196">
        <f>+'[12]C.F Final as Financials'!$C$24</f>
        <v>0</v>
      </c>
      <c r="T19" s="196">
        <f>+'[13]C.F Final as Financials'!$C$24</f>
        <v>0</v>
      </c>
    </row>
    <row r="20" spans="2:22" x14ac:dyDescent="0.2">
      <c r="B20" s="45" t="s">
        <v>145</v>
      </c>
      <c r="C20" s="196">
        <f>0*('2025 IR Data Book'!$A$5)</f>
        <v>0</v>
      </c>
      <c r="D20" s="196">
        <f>0*('2025 IR Data Book'!$A$5)</f>
        <v>0</v>
      </c>
      <c r="E20" s="196">
        <f>0*('2025 IR Data Book'!$A$5)</f>
        <v>0</v>
      </c>
      <c r="F20" s="196">
        <f>-20812*('2025 IR Data Book'!$A$5)</f>
        <v>-20812</v>
      </c>
      <c r="G20" s="196">
        <f>0*('2025 IR Data Book'!$A$5)</f>
        <v>0</v>
      </c>
      <c r="H20" s="196">
        <f>0*('2025 IR Data Book'!$A$5)</f>
        <v>0</v>
      </c>
      <c r="I20" s="196">
        <f>-648*(('2025 IR Data Book'!$A$5))</f>
        <v>-648</v>
      </c>
      <c r="J20" s="196">
        <f>-1291*(('2025 IR Data Book'!$A$5))</f>
        <v>-1291</v>
      </c>
      <c r="K20" s="196">
        <f>0*(('2025 IR Data Book'!$A$5))</f>
        <v>0</v>
      </c>
      <c r="L20" s="196">
        <f>0*((('2025 IR Data Book'!$A$5)))</f>
        <v>0</v>
      </c>
      <c r="M20" s="196">
        <f>0*((('2025 IR Data Book'!$A$5)))</f>
        <v>0</v>
      </c>
      <c r="N20" s="196">
        <f>0*((('2025 IR Data Book'!$A$5)))</f>
        <v>0</v>
      </c>
      <c r="O20" s="196">
        <f>0*((('2025 IR Data Book'!$A$5)))</f>
        <v>0</v>
      </c>
      <c r="P20" s="196">
        <f>0*((('2025 IR Data Book'!$A$5)))</f>
        <v>0</v>
      </c>
      <c r="Q20" s="196">
        <f>0*((('2025 IR Data Book'!$A$5)))</f>
        <v>0</v>
      </c>
      <c r="R20" s="196">
        <f>0*((('2025 IR Data Book'!$A$5)))</f>
        <v>0</v>
      </c>
      <c r="S20" s="196">
        <f>0*((('2025 IR Data Book'!$A$5)))</f>
        <v>0</v>
      </c>
      <c r="T20" s="196">
        <f>0*((('2025 IR Data Book'!$A$5)))</f>
        <v>0</v>
      </c>
      <c r="U20" s="196">
        <f>0*((('2025 IR Data Book'!$A$5)))</f>
        <v>0</v>
      </c>
      <c r="V20" s="196">
        <f>0*((('2025 IR Data Book'!$A$5)))</f>
        <v>0</v>
      </c>
    </row>
    <row r="21" spans="2:22" x14ac:dyDescent="0.2">
      <c r="B21" s="45" t="s">
        <v>146</v>
      </c>
      <c r="C21" s="196"/>
      <c r="D21" s="196"/>
      <c r="E21" s="196"/>
      <c r="F21" s="196"/>
      <c r="G21" s="196"/>
      <c r="H21" s="196"/>
      <c r="I21" s="196"/>
      <c r="J21" s="196">
        <f>-754*(('2025 IR Data Book'!$A$5))</f>
        <v>-754</v>
      </c>
      <c r="K21" s="196">
        <f>-65*(('2025 IR Data Book'!$A$5))</f>
        <v>-65</v>
      </c>
      <c r="L21" s="196">
        <f>-676.2578736*((('2025 IR Data Book'!$A$5)))</f>
        <v>-676.25787360000004</v>
      </c>
      <c r="M21" s="196">
        <f>-939.873429*((('2025 IR Data Book'!$A$5)))</f>
        <v>-939.87342899999999</v>
      </c>
      <c r="N21" s="196">
        <f>'[7]C.F Final as Financials'!$C$25*((('2025 IR Data Book'!$A$5)))</f>
        <v>-1246.9578779999999</v>
      </c>
      <c r="O21" s="196">
        <f>'[8]C.F Final as Financials'!$C$25*((('2025 IR Data Book'!$A$5)))</f>
        <v>-135.8054028</v>
      </c>
      <c r="P21" s="196">
        <f>'[9]C.F Final as Financials'!$C$25*((('2025 IR Data Book'!$A$5)))</f>
        <v>-572.9586534</v>
      </c>
      <c r="Q21" s="196">
        <f>'[10]C.F Final as Financials'!$C$25*((('2025 IR Data Book'!$A$5)))</f>
        <v>-595.87567739999997</v>
      </c>
      <c r="R21" s="196">
        <f>'[11]C.F Final as Financials'!$C$26*((('2025 IR Data Book'!$A$5)))</f>
        <v>-1013.9203902</v>
      </c>
      <c r="S21" s="196">
        <f>'[12]C.F Final as Financials'!$C$26*((('2025 IR Data Book'!$A$5)))</f>
        <v>-280.54488253800002</v>
      </c>
      <c r="T21" s="196">
        <f>'[13]C.F Final as Financials'!$C$26*((('2025 IR Data Book'!$A$5)))</f>
        <v>-420.66327660000002</v>
      </c>
      <c r="U21" s="196">
        <f>'[14]C.F Final as Financials'!$C$26*((('2025 IR Data Book'!$A$5)))</f>
        <v>-993.83126820000018</v>
      </c>
      <c r="V21" s="196">
        <f>'[15]C.F Final as Financials'!$C$26*((('2025 IR Data Book'!$A$5)))</f>
        <v>-1466.848118868</v>
      </c>
    </row>
    <row r="22" spans="2:22" x14ac:dyDescent="0.2">
      <c r="B22" s="45" t="s">
        <v>346</v>
      </c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>
        <f>'[7]C.F Final as Financials'!$C$26*((('2025 IR Data Book'!$A$5)))</f>
        <v>0</v>
      </c>
      <c r="O22" s="196">
        <f>'[8]C.F Final as Financials'!$C$26*((('2025 IR Data Book'!$A$5)))</f>
        <v>0</v>
      </c>
      <c r="P22" s="196">
        <f>'[9]C.F Final as Financials'!$C$26*((('2025 IR Data Book'!$A$5)))</f>
        <v>0</v>
      </c>
      <c r="Q22" s="196">
        <f>'[10]C.F Final as Financials'!$C$26*((('2025 IR Data Book'!$A$5)))</f>
        <v>0</v>
      </c>
      <c r="R22" s="196"/>
      <c r="S22" s="196"/>
      <c r="T22" s="196"/>
      <c r="U22" s="196">
        <f>+'[14]C.F Final as Financials'!$C$24*((('2025 IR Data Book'!$A$5)))</f>
        <v>5552.9712</v>
      </c>
      <c r="V22" s="196">
        <f>+'[15]C.F Final as Financials'!$C$24*((('2025 IR Data Book'!$A$5)))</f>
        <v>5552.9712</v>
      </c>
    </row>
    <row r="23" spans="2:22" x14ac:dyDescent="0.2">
      <c r="B23" s="45" t="s">
        <v>355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>
        <f>'[15]C.F Final as Financials'!$C$27*((('2025 IR Data Book'!$A$5)))</f>
        <v>-9951.6148391999996</v>
      </c>
    </row>
    <row r="24" spans="2:22" ht="15" x14ac:dyDescent="0.2">
      <c r="C24" s="56">
        <f t="shared" ref="C24:I24" si="8">SUM(C5:C20)</f>
        <v>194694</v>
      </c>
      <c r="D24" s="56">
        <f t="shared" si="8"/>
        <v>425101</v>
      </c>
      <c r="E24" s="56">
        <f t="shared" si="8"/>
        <v>590157</v>
      </c>
      <c r="F24" s="56">
        <f t="shared" si="8"/>
        <v>726185</v>
      </c>
      <c r="G24" s="56">
        <f t="shared" si="8"/>
        <v>185265.9745935493</v>
      </c>
      <c r="H24" s="56">
        <f t="shared" si="8"/>
        <v>363347</v>
      </c>
      <c r="I24" s="56">
        <f t="shared" si="8"/>
        <v>517002.3302509269</v>
      </c>
      <c r="J24" s="56">
        <f>SUM(J5:J21)</f>
        <v>677736.42648475757</v>
      </c>
      <c r="K24" s="56">
        <f>SUM(K5:K21)</f>
        <v>173322</v>
      </c>
      <c r="L24" s="56">
        <f>SUM(L5:L21)</f>
        <v>324686.57125238742</v>
      </c>
      <c r="M24" s="56">
        <f>SUM(M5:M21)</f>
        <v>471255.02961998759</v>
      </c>
      <c r="N24" s="56">
        <f t="shared" ref="N24:S24" si="9">SUM(N5:N22)</f>
        <v>682263.12234946177</v>
      </c>
      <c r="O24" s="56">
        <f t="shared" si="9"/>
        <v>198492.25105643814</v>
      </c>
      <c r="P24" s="56">
        <f t="shared" si="9"/>
        <v>345751.93521578179</v>
      </c>
      <c r="Q24" s="56">
        <f t="shared" si="9"/>
        <v>520927.25338906597</v>
      </c>
      <c r="R24" s="56">
        <f t="shared" si="9"/>
        <v>687593.1589626841</v>
      </c>
      <c r="S24" s="56">
        <f t="shared" si="9"/>
        <v>149814.81741431047</v>
      </c>
      <c r="T24" s="56">
        <f t="shared" ref="T24:U24" si="10">SUM(T5:T22)</f>
        <v>263609.06609719852</v>
      </c>
      <c r="U24" s="56">
        <f t="shared" si="10"/>
        <v>435431.55212871172</v>
      </c>
      <c r="V24" s="56">
        <f>SUM(V5:V23)</f>
        <v>599590.66217660089</v>
      </c>
    </row>
    <row r="25" spans="2:22" x14ac:dyDescent="0.2"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2:22" x14ac:dyDescent="0.2">
      <c r="B26" s="270" t="s">
        <v>147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</row>
    <row r="27" spans="2:22" x14ac:dyDescent="0.2">
      <c r="B27" s="45" t="s">
        <v>148</v>
      </c>
      <c r="C27" s="55">
        <f>16527*('2025 IR Data Book'!$A$5)</f>
        <v>16527</v>
      </c>
      <c r="D27" s="55">
        <f>-60869*('2025 IR Data Book'!$A$5)</f>
        <v>-60869</v>
      </c>
      <c r="E27" s="55">
        <f>-31519*('2025 IR Data Book'!$A$5)</f>
        <v>-31519</v>
      </c>
      <c r="F27" s="55">
        <f>-174292*('2025 IR Data Book'!$A$5)</f>
        <v>-174292</v>
      </c>
      <c r="G27" s="55">
        <f>50503*('2025 IR Data Book'!$A$5)</f>
        <v>50503</v>
      </c>
      <c r="H27" s="55">
        <f>65762*('2025 IR Data Book'!$A$5)</f>
        <v>65762</v>
      </c>
      <c r="I27" s="55">
        <f>111542.267356377*(('2025 IR Data Book'!$A$5))</f>
        <v>111542.26735637699</v>
      </c>
      <c r="J27" s="55">
        <f>80056.9094076042*(('2025 IR Data Book'!$A$5))</f>
        <v>80056.909407604195</v>
      </c>
      <c r="K27" s="55">
        <f>3774*(('2025 IR Data Book'!$A$5))</f>
        <v>3774</v>
      </c>
      <c r="L27" s="55">
        <f>31618.0038329862*((('2025 IR Data Book'!$A$5)))</f>
        <v>31618.0038329862</v>
      </c>
      <c r="M27" s="55">
        <f>134263.660749654*((('2025 IR Data Book'!$A$5)))</f>
        <v>134263.66074965399</v>
      </c>
      <c r="N27" s="55">
        <f>'[7]C.F Final as Financials'!$C$29*((('2025 IR Data Book'!$A$5)))</f>
        <v>19735.423417099515</v>
      </c>
      <c r="O27" s="55">
        <f>'[8]C.F Final as Financials'!$C$29*((('2025 IR Data Book'!$A$5)))</f>
        <v>20825.425759205631</v>
      </c>
      <c r="P27" s="55">
        <f>'[9]C.F Final as Financials'!$C$29*((('2025 IR Data Book'!$A$5)))</f>
        <v>62228.566278089958</v>
      </c>
      <c r="Q27" s="55">
        <f>'[10]C.F Final as Financials'!$C$29*((('2025 IR Data Book'!$A$5)))</f>
        <v>30657.061085340516</v>
      </c>
      <c r="R27" s="55">
        <f>'[11]C.F Final as Financials'!$C$30*((('2025 IR Data Book'!$A$5)))</f>
        <v>-7714.6241597457438</v>
      </c>
      <c r="S27" s="55">
        <f>'[12]C.F Final as Financials'!$C$30*((('2025 IR Data Book'!$A$5)))</f>
        <v>-23360.03923458323</v>
      </c>
      <c r="T27" s="55">
        <f>'[13]C.F Final as Financials'!$C$30*((('2025 IR Data Book'!$A$5)))</f>
        <v>50979.585256708233</v>
      </c>
      <c r="U27" s="55">
        <f>'[14]C.F Final as Financials'!$C$30*((('2025 IR Data Book'!$A$5)))</f>
        <v>29700.042325640265</v>
      </c>
      <c r="V27" s="55">
        <f>'[15]C.F Final as Financials'!$C$30*((('2025 IR Data Book'!$A$5)))</f>
        <v>-22892.857391476031</v>
      </c>
    </row>
    <row r="28" spans="2:22" x14ac:dyDescent="0.2">
      <c r="B28" s="45" t="s">
        <v>149</v>
      </c>
      <c r="C28" s="55">
        <f>-24343*('2025 IR Data Book'!$A$5)</f>
        <v>-24343</v>
      </c>
      <c r="D28" s="55">
        <f>-5662*('2025 IR Data Book'!$A$5)</f>
        <v>-5662</v>
      </c>
      <c r="E28" s="55">
        <f>-31622*('2025 IR Data Book'!$A$5)</f>
        <v>-31622</v>
      </c>
      <c r="F28" s="55">
        <f>16676*('2025 IR Data Book'!$A$5)</f>
        <v>16676</v>
      </c>
      <c r="G28" s="55">
        <f>-32385.840330583*('2025 IR Data Book'!$A$5)</f>
        <v>-32385.840330583</v>
      </c>
      <c r="H28" s="55">
        <f>-76633*('2025 IR Data Book'!$A$5)</f>
        <v>-76633</v>
      </c>
      <c r="I28" s="55">
        <f>-98661.5622864977*(('2025 IR Data Book'!$A$5))</f>
        <v>-98661.562286497705</v>
      </c>
      <c r="J28" s="55">
        <f>-26068.052600806*(('2025 IR Data Book'!$A$5))</f>
        <v>-26068.052600806001</v>
      </c>
      <c r="K28" s="55">
        <f>-12651*(('2025 IR Data Book'!$A$5))</f>
        <v>-12651</v>
      </c>
      <c r="L28" s="55">
        <f>-15016.363902908*((('2025 IR Data Book'!$A$5)))</f>
        <v>-15016.363902908</v>
      </c>
      <c r="M28" s="55">
        <f>-19129.8653756114*((('2025 IR Data Book'!$A$5)))</f>
        <v>-19129.8653756114</v>
      </c>
      <c r="N28" s="55">
        <f>'[7]C.F Final as Financials'!$C$30*((('2025 IR Data Book'!$A$5)))</f>
        <v>2962.4156035287601</v>
      </c>
      <c r="O28" s="55">
        <f>'[8]C.F Final as Financials'!$C$30*((('2025 IR Data Book'!$A$5)))</f>
        <v>3806.2121464102925</v>
      </c>
      <c r="P28" s="55">
        <f>'[9]C.F Final as Financials'!$C$30*((('2025 IR Data Book'!$A$5)))</f>
        <v>-23948.249596908074</v>
      </c>
      <c r="Q28" s="55">
        <f>'[10]C.F Final as Financials'!$C$30*((('2025 IR Data Book'!$A$5)))</f>
        <v>-5299.8810896575787</v>
      </c>
      <c r="R28" s="55">
        <f>'[11]C.F Final as Financials'!$C$31*((('2025 IR Data Book'!$A$5)))</f>
        <v>4695.9114421632839</v>
      </c>
      <c r="S28" s="55">
        <f>'[12]C.F Final as Financials'!$C$31*((('2025 IR Data Book'!$A$5)))</f>
        <v>15198.496637712175</v>
      </c>
      <c r="T28" s="55">
        <f>'[13]C.F Final as Financials'!$C$31*((('2025 IR Data Book'!$A$5)))</f>
        <v>40641.280535012018</v>
      </c>
      <c r="U28" s="55">
        <f>'[14]C.F Final as Financials'!$C$31*((('2025 IR Data Book'!$A$5)))</f>
        <v>30990.839283231471</v>
      </c>
      <c r="V28" s="55">
        <f>'[15]C.F Final as Financials'!$C$31*((('2025 IR Data Book'!$A$5)))</f>
        <v>44865.753905968566</v>
      </c>
    </row>
    <row r="29" spans="2:22" x14ac:dyDescent="0.2">
      <c r="B29" s="45" t="s">
        <v>150</v>
      </c>
      <c r="C29" s="55">
        <f>-26200*('2025 IR Data Book'!$A$5)</f>
        <v>-26200</v>
      </c>
      <c r="D29" s="55">
        <f>-40096*('2025 IR Data Book'!$A$5)</f>
        <v>-40096</v>
      </c>
      <c r="E29" s="55">
        <f>-34567*('2025 IR Data Book'!$A$5)</f>
        <v>-34567</v>
      </c>
      <c r="F29" s="55">
        <f>25240*('2025 IR Data Book'!$A$5)</f>
        <v>25240</v>
      </c>
      <c r="G29" s="55">
        <f>-16854*('2025 IR Data Book'!$A$5)</f>
        <v>-16854</v>
      </c>
      <c r="H29" s="55">
        <f>-18635*('2025 IR Data Book'!$A$5)</f>
        <v>-18635</v>
      </c>
      <c r="I29" s="55">
        <f>12662.3772294495*(('2025 IR Data Book'!$A$5))</f>
        <v>12662.377229449499</v>
      </c>
      <c r="J29" s="55">
        <f>17702*(('2025 IR Data Book'!$A$5))</f>
        <v>17702</v>
      </c>
      <c r="K29" s="55">
        <f>-22887*(('2025 IR Data Book'!$A$5))</f>
        <v>-22887</v>
      </c>
      <c r="L29" s="55">
        <f>-30546.4333182499*((('2025 IR Data Book'!$A$5)))</f>
        <v>-30546.433318249899</v>
      </c>
      <c r="M29" s="55">
        <f>-22600.196560927*((('2025 IR Data Book'!$A$5)))</f>
        <v>-22600.196560927001</v>
      </c>
      <c r="N29" s="55">
        <f>'[7]C.F Final as Financials'!$C$31*((('2025 IR Data Book'!$A$5)))</f>
        <v>-30451.902982950607</v>
      </c>
      <c r="O29" s="55">
        <f>'[8]C.F Final as Financials'!$C$31*((('2025 IR Data Book'!$A$5)))</f>
        <v>-22914.273707637389</v>
      </c>
      <c r="P29" s="196">
        <f>'[9]C.F Final as Financials'!$C$31*((('2025 IR Data Book'!$A$5)))</f>
        <v>-41579.52416719708</v>
      </c>
      <c r="Q29" s="196">
        <f>'[10]C.F Final as Financials'!$C$31*((('2025 IR Data Book'!$A$5)))</f>
        <v>-60164.03340592223</v>
      </c>
      <c r="R29" s="196">
        <f>'[11]C.F Final as Financials'!$C$32*((('2025 IR Data Book'!$A$5)))</f>
        <v>-18507.735450300112</v>
      </c>
      <c r="S29" s="196">
        <f>'[12]C.F Final as Financials'!$C$32*((('2025 IR Data Book'!$A$5)))</f>
        <v>-35932.533729570918</v>
      </c>
      <c r="T29" s="196">
        <f>'[13]C.F Final as Financials'!$C$32*((('2025 IR Data Book'!$A$5)))</f>
        <v>-39236.539522384584</v>
      </c>
      <c r="U29" s="196">
        <f>'[14]C.F Final as Financials'!$C$32*((('2025 IR Data Book'!$A$5)))</f>
        <v>-19248.794326206436</v>
      </c>
      <c r="V29" s="196">
        <f>'[15]C.F Final as Financials'!$C$32*((('2025 IR Data Book'!$A$5)))</f>
        <v>-4555.2049146679656</v>
      </c>
    </row>
    <row r="30" spans="2:22" x14ac:dyDescent="0.2">
      <c r="B30" s="45" t="s">
        <v>151</v>
      </c>
      <c r="C30" s="55">
        <f>-121872*('2025 IR Data Book'!$A$5)</f>
        <v>-121872</v>
      </c>
      <c r="D30" s="55">
        <f>-88003*('2025 IR Data Book'!$A$5)</f>
        <v>-88003</v>
      </c>
      <c r="E30" s="55">
        <f>-120889*('2025 IR Data Book'!$A$5)</f>
        <v>-120889</v>
      </c>
      <c r="F30" s="55">
        <f>-166484*('2025 IR Data Book'!$A$5)</f>
        <v>-166484</v>
      </c>
      <c r="G30" s="55">
        <f>-49724*('2025 IR Data Book'!$A$5)</f>
        <v>-49724</v>
      </c>
      <c r="H30" s="55">
        <f>-41966*('2025 IR Data Book'!$A$5)</f>
        <v>-41966</v>
      </c>
      <c r="I30" s="55">
        <f>-119567.233277775*(('2025 IR Data Book'!$A$5))</f>
        <v>-119567.233277775</v>
      </c>
      <c r="J30" s="196">
        <f>(-13628-87801)*(('2025 IR Data Book'!$A$5))</f>
        <v>-101429</v>
      </c>
      <c r="K30" s="55">
        <f>-(3700+10772)*(('2025 IR Data Book'!$A$5))</f>
        <v>-14472</v>
      </c>
      <c r="L30" s="196">
        <f>-68295.656*((('2025 IR Data Book'!$A$5)))</f>
        <v>-68295.656000000003</v>
      </c>
      <c r="M30" s="55">
        <f>-110339.92504158*((('2025 IR Data Book'!$A$5)))</f>
        <v>-110339.92504158001</v>
      </c>
      <c r="N30" s="196">
        <f>('[7]C.F Final as Financials'!$C$32+'[7]C.F Final as Financials'!$C$33)*((('2025 IR Data Book'!$A$5)))</f>
        <v>-103078.86551613049</v>
      </c>
      <c r="O30" s="55">
        <f>('[8]C.F Final as Financials'!$C$32+'[8]C.F Final as Financials'!$C$33)*((('2025 IR Data Book'!$A$5)))</f>
        <v>14755.917671487001</v>
      </c>
      <c r="P30" s="55">
        <f>('[9]C.F Final as Financials'!$C$32+'[9]C.F Final as Financials'!$C$33)*((('2025 IR Data Book'!$A$5)))</f>
        <v>-16971.489858402627</v>
      </c>
      <c r="Q30" s="55">
        <f>('[10]C.F Final as Financials'!$C$32+'[10]C.F Final as Financials'!$C$33)*((('2025 IR Data Book'!$A$5)))</f>
        <v>-18551.042561409628</v>
      </c>
      <c r="R30" s="55">
        <f>('[11]C.F Final as Financials'!$C$33+'[11]C.F Final as Financials'!$C$34)*((('2025 IR Data Book'!$A$5)))</f>
        <v>14872.793827270467</v>
      </c>
      <c r="S30" s="55">
        <f>('[12]C.F Final as Financials'!$C$33+'[12]C.F Final as Financials'!$C$34)*((('2025 IR Data Book'!$A$5)))</f>
        <v>67361.570956248135</v>
      </c>
      <c r="T30" s="55">
        <f>('[13]C.F Final as Financials'!$C$33+'[13]C.F Final as Financials'!$C$34)*((('2025 IR Data Book'!$A$5)))</f>
        <v>-35036.541597668016</v>
      </c>
      <c r="U30" s="55">
        <f>('[14]C.F Final as Financials'!$C$33+'[14]C.F Final as Financials'!$C$34)*((('2025 IR Data Book'!$A$5)))</f>
        <v>-13783.488375849971</v>
      </c>
      <c r="V30" s="55">
        <f>('[15]C.F Final as Financials'!$C$33+'[15]C.F Final as Financials'!$C$34)*((('2025 IR Data Book'!$A$5)))</f>
        <v>-12166.31815395058</v>
      </c>
    </row>
    <row r="31" spans="2:22" x14ac:dyDescent="0.2">
      <c r="B31" s="45" t="s">
        <v>152</v>
      </c>
      <c r="C31" s="55"/>
      <c r="D31" s="55"/>
      <c r="E31" s="55"/>
      <c r="F31" s="55"/>
      <c r="G31" s="55"/>
      <c r="H31" s="55"/>
      <c r="I31" s="55"/>
      <c r="J31" s="196">
        <f>-2345*(('2025 IR Data Book'!$A$5))</f>
        <v>-2345</v>
      </c>
      <c r="K31" s="196">
        <f>-1619*(('2025 IR Data Book'!$A$5))</f>
        <v>-1619</v>
      </c>
      <c r="L31" s="196">
        <f>-2449.39380892485*((('2025 IR Data Book'!$A$5)))</f>
        <v>-2449.39380892485</v>
      </c>
      <c r="M31" s="196">
        <f>-3156.95242264787*((('2025 IR Data Book'!$A$5)))</f>
        <v>-3156.9524226478702</v>
      </c>
      <c r="N31" s="196">
        <f>'[7]C.F Final as Financials'!$C$34*((('2025 IR Data Book'!$A$5)))</f>
        <v>-2958.4208039810401</v>
      </c>
      <c r="O31" s="196">
        <f>'[8]C.F Final as Financials'!$C$34*((('2025 IR Data Book'!$A$5)))</f>
        <v>-1156.2092969730784</v>
      </c>
      <c r="P31" s="196">
        <f>'[9]C.F Final as Financials'!$C$34*((('2025 IR Data Book'!$A$5)))</f>
        <v>-1411.4245938976328</v>
      </c>
      <c r="Q31" s="196">
        <f>'[10]C.F Final as Financials'!$C$34*((('2025 IR Data Book'!$A$5)))</f>
        <v>-1402.5389586331876</v>
      </c>
      <c r="R31" s="196">
        <f>'[11]C.F Final as Financials'!$C$35*((('2025 IR Data Book'!$A$5)))</f>
        <v>-3191.9100534946629</v>
      </c>
      <c r="S31" s="196">
        <f>'[12]C.F Final as Financials'!$C$35*((('2025 IR Data Book'!$A$5)))</f>
        <v>-312.94074437884592</v>
      </c>
      <c r="T31" s="196">
        <f>'[13]C.F Final as Financials'!$C$35*((('2025 IR Data Book'!$A$5)))</f>
        <v>-131.11784313799399</v>
      </c>
      <c r="U31" s="196">
        <f>'[14]C.F Final as Financials'!$C$35*((('2025 IR Data Book'!$A$5)))</f>
        <v>-2422.9670628336635</v>
      </c>
      <c r="V31" s="196">
        <f>'[15]C.F Final as Financials'!$C$35*((('2025 IR Data Book'!$A$5)))</f>
        <v>-1389.0378187398001</v>
      </c>
    </row>
    <row r="32" spans="2:22" x14ac:dyDescent="0.2">
      <c r="B32" s="45" t="s">
        <v>153</v>
      </c>
      <c r="C32" s="58">
        <f>0*('2025 IR Data Book'!$A$5)</f>
        <v>0</v>
      </c>
      <c r="D32" s="58">
        <f>0*('2025 IR Data Book'!$A$5)</f>
        <v>0</v>
      </c>
      <c r="E32" s="58">
        <f>18964*('2025 IR Data Book'!$A$5)</f>
        <v>18964</v>
      </c>
      <c r="F32" s="58">
        <f>18305*('2025 IR Data Book'!$A$5)</f>
        <v>18305</v>
      </c>
      <c r="G32" s="58">
        <f>0*('2025 IR Data Book'!$A$5)</f>
        <v>0</v>
      </c>
      <c r="H32" s="58">
        <f>0*('2025 IR Data Book'!$A$5)</f>
        <v>0</v>
      </c>
      <c r="I32" s="58">
        <f>-4434.73416298412*(('2025 IR Data Book'!$A$5))</f>
        <v>-4434.7341629841203</v>
      </c>
      <c r="J32" s="58"/>
      <c r="K32" s="58">
        <f>0*(('2025 IR Data Book'!$A$5))</f>
        <v>0</v>
      </c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</row>
    <row r="33" spans="2:22" x14ac:dyDescent="0.2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</row>
    <row r="34" spans="2:22" ht="25.5" x14ac:dyDescent="0.2">
      <c r="B34" s="271" t="s">
        <v>154</v>
      </c>
      <c r="C34" s="60">
        <f t="shared" ref="C34:H34" si="11">C24+SUM(C27:C32)</f>
        <v>38806</v>
      </c>
      <c r="D34" s="60">
        <f t="shared" si="11"/>
        <v>230471</v>
      </c>
      <c r="E34" s="60">
        <f t="shared" si="11"/>
        <v>390524</v>
      </c>
      <c r="F34" s="60">
        <f t="shared" si="11"/>
        <v>445630</v>
      </c>
      <c r="G34" s="60">
        <f t="shared" si="11"/>
        <v>136805.13426296628</v>
      </c>
      <c r="H34" s="60">
        <f t="shared" si="11"/>
        <v>291875</v>
      </c>
      <c r="I34" s="60">
        <f t="shared" ref="I34:J34" si="12">I24+SUM(I27:I32)</f>
        <v>418543.44510949659</v>
      </c>
      <c r="J34" s="60">
        <f t="shared" si="12"/>
        <v>645653.28329155571</v>
      </c>
      <c r="K34" s="60">
        <f t="shared" ref="K34:L34" si="13">K24+SUM(K27:K32)</f>
        <v>125467</v>
      </c>
      <c r="L34" s="60">
        <f t="shared" si="13"/>
        <v>239996.72805529088</v>
      </c>
      <c r="M34" s="60">
        <f t="shared" ref="M34:N34" si="14">M24+SUM(M27:M32)</f>
        <v>450291.75096887531</v>
      </c>
      <c r="N34" s="60">
        <f t="shared" si="14"/>
        <v>568471.77206702786</v>
      </c>
      <c r="O34" s="60">
        <f t="shared" ref="O34:P34" si="15">O24+SUM(O27:O32)</f>
        <v>213809.32362893061</v>
      </c>
      <c r="P34" s="60">
        <f t="shared" si="15"/>
        <v>324069.81327746634</v>
      </c>
      <c r="Q34" s="60">
        <f t="shared" ref="Q34:R34" si="16">Q24+SUM(Q27:Q32)</f>
        <v>466166.81845878385</v>
      </c>
      <c r="R34" s="60">
        <f t="shared" si="16"/>
        <v>677747.59456857736</v>
      </c>
      <c r="S34" s="60">
        <f t="shared" ref="S34:T34" si="17">S24+SUM(S27:S32)</f>
        <v>172769.37129973777</v>
      </c>
      <c r="T34" s="60">
        <f t="shared" si="17"/>
        <v>280825.7329257282</v>
      </c>
      <c r="U34" s="60">
        <f t="shared" ref="U34:V34" si="18">U24+SUM(U27:U32)</f>
        <v>460667.1839726934</v>
      </c>
      <c r="V34" s="60">
        <f t="shared" si="18"/>
        <v>603452.99780373508</v>
      </c>
    </row>
    <row r="35" spans="2:22" x14ac:dyDescent="0.2">
      <c r="C35" s="55"/>
      <c r="D35" s="55"/>
      <c r="E35" s="55"/>
      <c r="F35" s="55"/>
      <c r="G35" s="55"/>
      <c r="H35" s="55"/>
      <c r="I35" s="55"/>
      <c r="J35" s="55"/>
      <c r="K35" s="55"/>
      <c r="L35" s="55">
        <f>0*((('2025 IR Data Book'!$A$5)))</f>
        <v>0</v>
      </c>
      <c r="M35" s="55">
        <f>0*((('2025 IR Data Book'!$A$5)))</f>
        <v>0</v>
      </c>
      <c r="N35" s="55"/>
      <c r="O35" s="55"/>
      <c r="P35" s="55"/>
      <c r="Q35" s="55"/>
      <c r="R35" s="55"/>
      <c r="S35" s="55"/>
      <c r="T35" s="55"/>
      <c r="U35" s="55"/>
      <c r="V35" s="55"/>
    </row>
    <row r="36" spans="2:22" x14ac:dyDescent="0.2">
      <c r="B36" s="45" t="s">
        <v>155</v>
      </c>
      <c r="C36" s="57">
        <f>-4565*('2025 IR Data Book'!$A$5)</f>
        <v>-4565</v>
      </c>
      <c r="D36" s="57">
        <f>-19262*('2025 IR Data Book'!$A$5)</f>
        <v>-19262</v>
      </c>
      <c r="E36" s="57">
        <f>-24728*('2025 IR Data Book'!$A$5)</f>
        <v>-24728</v>
      </c>
      <c r="F36" s="57">
        <f>-31732*('2025 IR Data Book'!$A$5)</f>
        <v>-31732</v>
      </c>
      <c r="G36" s="57">
        <f>-6375*('2025 IR Data Book'!$A$5)</f>
        <v>-6375</v>
      </c>
      <c r="H36" s="57">
        <f>-12681*('2025 IR Data Book'!$A$5)</f>
        <v>-12681</v>
      </c>
      <c r="I36" s="57">
        <f>-18048.7065671711*(('2025 IR Data Book'!$A$5))</f>
        <v>-18048.706567171099</v>
      </c>
      <c r="J36" s="57">
        <f>-20417*(('2025 IR Data Book'!$A$5))</f>
        <v>-20417</v>
      </c>
      <c r="K36" s="57">
        <f>-6805*(('2025 IR Data Book'!$A$5))</f>
        <v>-6805</v>
      </c>
      <c r="L36" s="57">
        <f>-11805.1423609359*((('2025 IR Data Book'!$A$5)))</f>
        <v>-11805.142360935901</v>
      </c>
      <c r="M36" s="57">
        <f>-17402.4891376351*((('2025 IR Data Book'!$A$5)))</f>
        <v>-17402.489137635101</v>
      </c>
      <c r="N36" s="57">
        <f>'[7]C.F Final as Financials'!$C$38*((('2025 IR Data Book'!$A$5)))</f>
        <v>-25997.234166173945</v>
      </c>
      <c r="O36" s="57">
        <f>'[8]C.F Final as Financials'!$C$38*((('2025 IR Data Book'!$A$5)))</f>
        <v>-4082.1906404910819</v>
      </c>
      <c r="P36" s="57">
        <f>'[9]C.F Final as Financials'!$C$38*((('2025 IR Data Book'!$A$5)))</f>
        <v>-8669.9508682403375</v>
      </c>
      <c r="Q36" s="57">
        <f>'[10]C.F Final as Financials'!$C$38*((('2025 IR Data Book'!$A$5)))</f>
        <v>-11452.896743858824</v>
      </c>
      <c r="R36" s="57">
        <f>'[11]C.F Final as Financials'!$C$39*((('2025 IR Data Book'!$A$5)))</f>
        <v>-19051.110534529442</v>
      </c>
      <c r="S36" s="57">
        <f>'[12]C.F Final as Financials'!$C$39*((('2025 IR Data Book'!$A$5)))</f>
        <v>-3723.5202619805427</v>
      </c>
      <c r="T36" s="57">
        <f>'[13]C.F Final as Financials'!$C$39*((('2025 IR Data Book'!$A$5)))</f>
        <v>-9363.7738517792313</v>
      </c>
      <c r="U36" s="57">
        <f>'[14]C.F Final as Financials'!$C$39*((('2025 IR Data Book'!$A$5)))</f>
        <v>-18210.618068363299</v>
      </c>
      <c r="V36" s="57">
        <f>'[15]C.F Final as Financials'!$C$39*((('2025 IR Data Book'!$A$5)))</f>
        <v>-26441.175443665754</v>
      </c>
    </row>
    <row r="37" spans="2:22" x14ac:dyDescent="0.2">
      <c r="B37" s="45" t="s">
        <v>156</v>
      </c>
      <c r="C37" s="57">
        <f>-23078*('2025 IR Data Book'!$A$5)</f>
        <v>-23078</v>
      </c>
      <c r="D37" s="57">
        <f>-49099*('2025 IR Data Book'!$A$5)</f>
        <v>-49099</v>
      </c>
      <c r="E37" s="57">
        <f>-61465*('2025 IR Data Book'!$A$5)</f>
        <v>-61465</v>
      </c>
      <c r="F37" s="57">
        <f>-96549*('2025 IR Data Book'!$A$5)</f>
        <v>-96549</v>
      </c>
      <c r="G37" s="57">
        <f>-15971*('2025 IR Data Book'!$A$5)</f>
        <v>-15971</v>
      </c>
      <c r="H37" s="57">
        <f>-36928*('2025 IR Data Book'!$A$5)</f>
        <v>-36928</v>
      </c>
      <c r="I37" s="57">
        <f>-45334.603918391*(('2025 IR Data Book'!$A$5))</f>
        <v>-45334.603918391003</v>
      </c>
      <c r="J37" s="57">
        <f>-58781.8263249087*(('2025 IR Data Book'!$A$5))</f>
        <v>-58781.826324908703</v>
      </c>
      <c r="K37" s="57">
        <f>-4201*(('2025 IR Data Book'!$A$5))</f>
        <v>-4201</v>
      </c>
      <c r="L37" s="57">
        <f>-16617.6608600986*((('2025 IR Data Book'!$A$5)))</f>
        <v>-16617.6608600986</v>
      </c>
      <c r="M37" s="57">
        <f>-23951.1506221876*((('2025 IR Data Book'!$A$5)))</f>
        <v>-23951.150622187601</v>
      </c>
      <c r="N37" s="57">
        <f>'[7]C.F Final as Financials'!$C$39*((('2025 IR Data Book'!$A$5)))</f>
        <v>-34357.319818209551</v>
      </c>
      <c r="O37" s="57">
        <f>'[8]C.F Final as Financials'!$C$39*((('2025 IR Data Book'!$A$5)))</f>
        <v>-2084.4636203354335</v>
      </c>
      <c r="P37" s="57">
        <f>'[9]C.F Final as Financials'!$C$39*((('2025 IR Data Book'!$A$5)))</f>
        <v>-24418.07382630706</v>
      </c>
      <c r="Q37" s="57">
        <f>'[10]C.F Final as Financials'!$C$39*((('2025 IR Data Book'!$A$5)))</f>
        <v>-34610.172750899212</v>
      </c>
      <c r="R37" s="57">
        <f>'[11]C.F Final as Financials'!$C$40*((('2025 IR Data Book'!$A$5)))</f>
        <v>-43763.008515374706</v>
      </c>
      <c r="S37" s="57">
        <f>'[12]C.F Final as Financials'!$C$40*((('2025 IR Data Book'!$A$5)))</f>
        <v>-2918.1069505768332</v>
      </c>
      <c r="T37" s="57">
        <f>'[13]C.F Final as Financials'!$C$40*((('2025 IR Data Book'!$A$5)))</f>
        <v>-15065.54293967923</v>
      </c>
      <c r="U37" s="57">
        <f>'[14]C.F Final as Financials'!$C$40*((('2025 IR Data Book'!$A$5)))</f>
        <v>-28003.109959431989</v>
      </c>
      <c r="V37" s="57">
        <f>'[15]C.F Final as Financials'!$C$40*((('2025 IR Data Book'!$A$5)))</f>
        <v>-29961.795116484343</v>
      </c>
    </row>
    <row r="38" spans="2:22" ht="15" x14ac:dyDescent="0.2">
      <c r="B38" s="270" t="s">
        <v>157</v>
      </c>
      <c r="C38" s="47">
        <f t="shared" ref="C38:H38" si="19">SUM(C34:C37)</f>
        <v>11163</v>
      </c>
      <c r="D38" s="47">
        <f t="shared" si="19"/>
        <v>162110</v>
      </c>
      <c r="E38" s="47">
        <f t="shared" si="19"/>
        <v>304331</v>
      </c>
      <c r="F38" s="47">
        <f t="shared" si="19"/>
        <v>317349</v>
      </c>
      <c r="G38" s="47">
        <f t="shared" si="19"/>
        <v>114459.13426296628</v>
      </c>
      <c r="H38" s="47">
        <f t="shared" si="19"/>
        <v>242266</v>
      </c>
      <c r="I38" s="47">
        <f t="shared" ref="I38:J38" si="20">SUM(I34:I37)</f>
        <v>355160.13462393451</v>
      </c>
      <c r="J38" s="47">
        <f t="shared" si="20"/>
        <v>566454.45696664695</v>
      </c>
      <c r="K38" s="47">
        <f t="shared" ref="K38:L38" si="21">SUM(K34:K37)</f>
        <v>114461</v>
      </c>
      <c r="L38" s="47">
        <f t="shared" si="21"/>
        <v>211573.92483425638</v>
      </c>
      <c r="M38" s="47">
        <f t="shared" ref="M38:N38" si="22">SUM(M34:M37)</f>
        <v>408938.11120905261</v>
      </c>
      <c r="N38" s="47">
        <f t="shared" si="22"/>
        <v>508117.21808264434</v>
      </c>
      <c r="O38" s="47">
        <f t="shared" ref="O38:P38" si="23">SUM(O34:O37)</f>
        <v>207642.66936810408</v>
      </c>
      <c r="P38" s="47">
        <f t="shared" si="23"/>
        <v>290981.78858291893</v>
      </c>
      <c r="Q38" s="47">
        <f t="shared" ref="Q38:R38" si="24">SUM(Q34:Q37)</f>
        <v>420103.74896402581</v>
      </c>
      <c r="R38" s="47">
        <f t="shared" si="24"/>
        <v>614933.47551867319</v>
      </c>
      <c r="S38" s="47">
        <f t="shared" ref="S38:T38" si="25">SUM(S34:S37)</f>
        <v>166127.74408718041</v>
      </c>
      <c r="T38" s="47">
        <f t="shared" si="25"/>
        <v>256396.41613426973</v>
      </c>
      <c r="U38" s="47">
        <f t="shared" ref="U38:V38" si="26">SUM(U34:U37)</f>
        <v>414453.45594489813</v>
      </c>
      <c r="V38" s="47">
        <f t="shared" si="26"/>
        <v>547050.02724358498</v>
      </c>
    </row>
    <row r="39" spans="2:22" x14ac:dyDescent="0.2"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</row>
    <row r="40" spans="2:22" x14ac:dyDescent="0.2">
      <c r="B40" s="267" t="s">
        <v>158</v>
      </c>
      <c r="C40" s="57"/>
      <c r="D40" s="57"/>
      <c r="E40" s="57"/>
      <c r="F40" s="57">
        <f>F41+'[16]CAPEX '!$D$16</f>
        <v>-93281.156500132332</v>
      </c>
      <c r="G40" s="57"/>
      <c r="H40" s="57"/>
      <c r="I40" s="57"/>
      <c r="J40" s="57">
        <f>J41+'[16]CAPEX '!$E$16</f>
        <v>-44132.638055832984</v>
      </c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</row>
    <row r="41" spans="2:22" x14ac:dyDescent="0.2">
      <c r="B41" s="45" t="s">
        <v>159</v>
      </c>
      <c r="C41" s="57">
        <f>-34074*('2025 IR Data Book'!$A$5)</f>
        <v>-34074</v>
      </c>
      <c r="D41" s="57">
        <f>-63319*('2025 IR Data Book'!$A$5)</f>
        <v>-63319</v>
      </c>
      <c r="E41" s="57">
        <f>-99376*('2025 IR Data Book'!$A$5)</f>
        <v>-99376</v>
      </c>
      <c r="F41" s="57">
        <f>-128597*('2025 IR Data Book'!$A$5)</f>
        <v>-128597</v>
      </c>
      <c r="G41" s="57">
        <f>-15766*('2025 IR Data Book'!$A$5)</f>
        <v>-15766</v>
      </c>
      <c r="H41" s="57">
        <f>-39025*('2025 IR Data Book'!$A$5)</f>
        <v>-39025</v>
      </c>
      <c r="I41" s="57">
        <f>-52609.4286512622*(('2025 IR Data Book'!$A$5))</f>
        <v>-52609.428651262198</v>
      </c>
      <c r="J41" s="57">
        <f>-79141*(('2025 IR Data Book'!$A$5))</f>
        <v>-79141</v>
      </c>
      <c r="K41" s="57">
        <f>-20327*(('2025 IR Data Book'!$A$5))</f>
        <v>-20327</v>
      </c>
      <c r="L41" s="57">
        <f>-70419.057903089*((('2025 IR Data Book'!$A$5)))</f>
        <v>-70419.057903088993</v>
      </c>
      <c r="M41" s="57">
        <f>-91317.5676271028*((('2025 IR Data Book'!$A$5)))</f>
        <v>-91317.567627102806</v>
      </c>
      <c r="N41" s="57">
        <f>'[7]C.F Final as Financials'!$C$43*((('2025 IR Data Book'!$A$5)))</f>
        <v>-128012.96454729525</v>
      </c>
      <c r="O41" s="57">
        <f>'[8]C.F Final as Financials'!$C$43*((('2025 IR Data Book'!$A$5)))</f>
        <v>-26779.131840469348</v>
      </c>
      <c r="P41" s="57">
        <f>'[9]C.F Final as Financials'!$C$43*((('2025 IR Data Book'!$A$5)))</f>
        <v>-56291.152330022647</v>
      </c>
      <c r="Q41" s="57">
        <f>'[10]C.F Final as Financials'!$C$43*((('2025 IR Data Book'!$A$5)))</f>
        <v>-79276.422487130578</v>
      </c>
      <c r="R41" s="57">
        <f>'[11]C.F Final as Financials'!$C$44*((('2025 IR Data Book'!$A$5)))</f>
        <v>-124324.80944051246</v>
      </c>
      <c r="S41" s="57">
        <f>'[12]C.F Final as Financials'!$C$44*((('2025 IR Data Book'!$A$5)))</f>
        <v>-44839.145321164448</v>
      </c>
      <c r="T41" s="57">
        <f>'[13]C.F Final as Financials'!$C$44*((('2025 IR Data Book'!$A$5)))</f>
        <v>-78652.096171444369</v>
      </c>
      <c r="U41" s="57">
        <f>'[14]C.F Final as Financials'!$C$44*((('2025 IR Data Book'!$A$5)))</f>
        <v>-110577.65137370581</v>
      </c>
      <c r="V41" s="57">
        <f>'[15]C.F Final as Financials'!$C$44*((('2025 IR Data Book'!$A$5)))</f>
        <v>-148638.202267474</v>
      </c>
    </row>
    <row r="42" spans="2:22" x14ac:dyDescent="0.2">
      <c r="B42" s="45" t="s">
        <v>160</v>
      </c>
      <c r="C42" s="57">
        <f>2634*('2025 IR Data Book'!$A$5)</f>
        <v>2634</v>
      </c>
      <c r="D42" s="57">
        <f>2908*('2025 IR Data Book'!$A$5)</f>
        <v>2908</v>
      </c>
      <c r="E42" s="57">
        <f>5654*('2025 IR Data Book'!$A$5)</f>
        <v>5654</v>
      </c>
      <c r="F42" s="57">
        <f>6277*('2025 IR Data Book'!$A$5)</f>
        <v>6277</v>
      </c>
      <c r="G42" s="57">
        <f>708*('2025 IR Data Book'!$A$5)</f>
        <v>708</v>
      </c>
      <c r="H42" s="57">
        <f>1376*('2025 IR Data Book'!$A$5)</f>
        <v>1376</v>
      </c>
      <c r="I42" s="57">
        <f>2138.54676555677*(('2025 IR Data Book'!$A$5))</f>
        <v>2138.54676555677</v>
      </c>
      <c r="J42" s="57">
        <f>3578.941980125*(('2025 IR Data Book'!$A$5))</f>
        <v>3578.9419801250001</v>
      </c>
      <c r="K42" s="57">
        <f>1975*(('2025 IR Data Book'!$A$5))</f>
        <v>1975</v>
      </c>
      <c r="L42" s="57">
        <f>6914.74816262396*((('2025 IR Data Book'!$A$5)))</f>
        <v>6914.7481626239596</v>
      </c>
      <c r="M42" s="57">
        <f>6765.40867858112*((('2025 IR Data Book'!$A$5)))</f>
        <v>6765.4086785811196</v>
      </c>
      <c r="N42" s="57">
        <f>'[7]C.F Final as Financials'!$C$45*((('2025 IR Data Book'!$A$5)))</f>
        <v>5156.594745921986</v>
      </c>
      <c r="O42" s="57">
        <f>'[8]C.F Final as Financials'!$C$46*((('2025 IR Data Book'!$A$5)))</f>
        <v>2010.1393282305141</v>
      </c>
      <c r="P42" s="57">
        <f>'[9]C.F Final as Financials'!$C$46*((('2025 IR Data Book'!$A$5)))</f>
        <v>4455.8599499846769</v>
      </c>
      <c r="Q42" s="57">
        <f>'[10]C.F Final as Financials'!$C$47*((('2025 IR Data Book'!$A$5)))</f>
        <v>5470.5907787775395</v>
      </c>
      <c r="R42" s="57">
        <f>'[11]C.F Final as Financials'!$C$48*((('2025 IR Data Book'!$A$5)))</f>
        <v>7814.9114173984681</v>
      </c>
      <c r="S42" s="57">
        <f>'[12]C.F Final as Financials'!$C$48*((('2025 IR Data Book'!$A$5)))</f>
        <v>479.34166652057695</v>
      </c>
      <c r="T42" s="57">
        <f>'[13]C.F Final as Financials'!$C$48*((('2025 IR Data Book'!$A$5)))</f>
        <v>1453.56657554969</v>
      </c>
      <c r="U42" s="57">
        <f>'[14]C.F Final as Financials'!$C$48*((('2025 IR Data Book'!$A$5)))</f>
        <v>1601.8254163921549</v>
      </c>
      <c r="V42" s="57">
        <f>'[15]C.F Final as Financials'!$C$48*((('2025 IR Data Book'!$A$5)))</f>
        <v>3354.2542908514365</v>
      </c>
    </row>
    <row r="43" spans="2:22" x14ac:dyDescent="0.2">
      <c r="B43" s="45" t="s">
        <v>161</v>
      </c>
      <c r="C43" s="57">
        <f>0*('2025 IR Data Book'!$A$5)</f>
        <v>0</v>
      </c>
      <c r="D43" s="57">
        <f>0*('2025 IR Data Book'!$A$5)</f>
        <v>0</v>
      </c>
      <c r="E43" s="57">
        <f>0*('2025 IR Data Book'!$A$5)</f>
        <v>0</v>
      </c>
      <c r="F43" s="57">
        <f>0*('2025 IR Data Book'!$A$5)</f>
        <v>0</v>
      </c>
      <c r="G43" s="57">
        <f>0*('2025 IR Data Book'!$A$5)</f>
        <v>0</v>
      </c>
      <c r="H43" s="57">
        <f>0*('2025 IR Data Book'!$A$5)</f>
        <v>0</v>
      </c>
      <c r="I43" s="57">
        <f>0*(('2025 IR Data Book'!$A$5))</f>
        <v>0</v>
      </c>
      <c r="J43" s="57">
        <f>0*(('2025 IR Data Book'!$A$5))</f>
        <v>0</v>
      </c>
      <c r="K43" s="57">
        <f>0*(('2025 IR Data Book'!$A$5))</f>
        <v>0</v>
      </c>
      <c r="L43" s="57">
        <f>0*((('2025 IR Data Book'!$A$5)))</f>
        <v>0</v>
      </c>
      <c r="M43" s="57">
        <f>0*((('2025 IR Data Book'!$A$5)))</f>
        <v>0</v>
      </c>
      <c r="N43" s="57">
        <f>0*((('2025 IR Data Book'!$A$5)))</f>
        <v>0</v>
      </c>
      <c r="O43" s="57">
        <f>0*((('2025 IR Data Book'!$A$5)))</f>
        <v>0</v>
      </c>
      <c r="P43" s="57">
        <f>0*((('2025 IR Data Book'!$A$5)))</f>
        <v>0</v>
      </c>
      <c r="Q43" s="57">
        <f>0*((('2025 IR Data Book'!$A$5)))</f>
        <v>0</v>
      </c>
      <c r="R43" s="57">
        <f>0*((('2025 IR Data Book'!$A$5)))</f>
        <v>0</v>
      </c>
      <c r="S43" s="57">
        <f>0*((('2025 IR Data Book'!$A$5)))</f>
        <v>0</v>
      </c>
      <c r="T43" s="57">
        <f>0*((('2025 IR Data Book'!$A$5)))</f>
        <v>0</v>
      </c>
      <c r="U43" s="57">
        <f>0*((('2025 IR Data Book'!$A$5)))</f>
        <v>0</v>
      </c>
      <c r="V43" s="57">
        <f>0*((('2025 IR Data Book'!$A$5)))</f>
        <v>0</v>
      </c>
    </row>
    <row r="44" spans="2:22" x14ac:dyDescent="0.2">
      <c r="B44" s="45" t="s">
        <v>162</v>
      </c>
      <c r="C44" s="57">
        <f>2332*('2025 IR Data Book'!$A$5)</f>
        <v>2332</v>
      </c>
      <c r="D44" s="57">
        <f>3855*('2025 IR Data Book'!$A$5)</f>
        <v>3855</v>
      </c>
      <c r="E44" s="57">
        <f>5047*('2025 IR Data Book'!$A$5)</f>
        <v>5047</v>
      </c>
      <c r="F44" s="57">
        <f>6406*('2025 IR Data Book'!$A$5)</f>
        <v>6406</v>
      </c>
      <c r="G44" s="57">
        <f>991*('2025 IR Data Book'!$A$5)</f>
        <v>991</v>
      </c>
      <c r="H44" s="57">
        <f>1996*('2025 IR Data Book'!$A$5)</f>
        <v>1996</v>
      </c>
      <c r="I44" s="57">
        <f>2759.31684564848*(('2025 IR Data Book'!$A$5))</f>
        <v>2759.31684564848</v>
      </c>
      <c r="J44" s="57">
        <f>4932.79116562149*(('2025 IR Data Book'!$A$5))</f>
        <v>4932.7911656214901</v>
      </c>
      <c r="K44" s="57">
        <f>2436*(('2025 IR Data Book'!$A$5))</f>
        <v>2436</v>
      </c>
      <c r="L44" s="57">
        <f>4285.25230496629*((('2025 IR Data Book'!$A$5)))</f>
        <v>4285.2523049662896</v>
      </c>
      <c r="M44" s="57">
        <f>5657.50763383836*((('2025 IR Data Book'!$A$5)))</f>
        <v>5657.5076338383597</v>
      </c>
      <c r="N44" s="57">
        <f>'[7]C.F Final as Financials'!$C$47*((('2025 IR Data Book'!$A$5)))</f>
        <v>8367.2050232442307</v>
      </c>
      <c r="O44" s="57">
        <f>'[8]C.F Final as Financials'!$C$48*((('2025 IR Data Book'!$A$5)))</f>
        <v>1019.2795049527581</v>
      </c>
      <c r="P44" s="57">
        <f>'[9]C.F Final as Financials'!$C$48*((('2025 IR Data Book'!$A$5)))</f>
        <v>2600.0908063232368</v>
      </c>
      <c r="Q44" s="57">
        <f>'[10]C.F Final as Financials'!$C$49*((('2025 IR Data Book'!$A$5)))</f>
        <v>3605.4735476900282</v>
      </c>
      <c r="R44" s="57">
        <f>'[11]C.F Final as Financials'!$C$50*((('2025 IR Data Book'!$A$5)))</f>
        <v>4796.8736768446279</v>
      </c>
      <c r="S44" s="57">
        <f>'[12]C.F Final as Financials'!$C$50*((('2025 IR Data Book'!$A$5)))</f>
        <v>1093.5703974627579</v>
      </c>
      <c r="T44" s="57">
        <f>'[13]C.F Final as Financials'!$C$50*((('2025 IR Data Book'!$A$5)))</f>
        <v>2651.1257286839814</v>
      </c>
      <c r="U44" s="57">
        <f>'[14]C.F Final as Financials'!$C$50*((('2025 IR Data Book'!$A$5)))</f>
        <v>4087.9561097798055</v>
      </c>
      <c r="V44" s="57">
        <f>'[15]C.F Final as Financials'!$C$50*((('2025 IR Data Book'!$A$5)))</f>
        <v>5375.8601439578197</v>
      </c>
    </row>
    <row r="45" spans="2:22" x14ac:dyDescent="0.2">
      <c r="B45" s="45" t="s">
        <v>163</v>
      </c>
      <c r="C45" s="57">
        <f>-1535*('2025 IR Data Book'!$A$5)</f>
        <v>-1535</v>
      </c>
      <c r="D45" s="57">
        <f>662*('2025 IR Data Book'!$A$5)</f>
        <v>662</v>
      </c>
      <c r="E45" s="57">
        <f>250*('2025 IR Data Book'!$A$5)</f>
        <v>250</v>
      </c>
      <c r="F45" s="57">
        <f>-421*('2025 IR Data Book'!$A$5)</f>
        <v>-421</v>
      </c>
      <c r="G45" s="57">
        <f>165*('2025 IR Data Book'!$A$5)</f>
        <v>165</v>
      </c>
      <c r="H45" s="57">
        <f>360*('2025 IR Data Book'!$A$5)</f>
        <v>360</v>
      </c>
      <c r="I45" s="57">
        <f>1621.30920095115*(('2025 IR Data Book'!$A$5))</f>
        <v>1621.3092009511499</v>
      </c>
      <c r="J45" s="57">
        <f>0.0484931206221972*(('2025 IR Data Book'!$A$5))</f>
        <v>4.8493120622197197E-2</v>
      </c>
      <c r="K45" s="57">
        <f>0.0484931206221972*(('2025 IR Data Book'!$A$5))</f>
        <v>4.8493120622197197E-2</v>
      </c>
      <c r="L45" s="57">
        <f>0*((('2025 IR Data Book'!$A$5)))</f>
        <v>0</v>
      </c>
      <c r="M45" s="57">
        <f>0*((('2025 IR Data Book'!$A$5)))</f>
        <v>0</v>
      </c>
      <c r="N45" s="57">
        <f>'[7]C.F Final as Financials'!$C$48*((('2025 IR Data Book'!$A$5)))</f>
        <v>4.9862181918115311E-2</v>
      </c>
      <c r="O45" s="57">
        <f>'[8]C.F Final as Financials'!$C$49*((('2025 IR Data Book'!$A$5)))</f>
        <v>1.0868729754577089E-2</v>
      </c>
      <c r="P45" s="57">
        <f>'[9]C.F Final as Financials'!$C$49*((('2025 IR Data Book'!$A$5)))</f>
        <v>1.6172053407558451E-2</v>
      </c>
      <c r="Q45" s="57">
        <f>'[10]C.F Final as Financials'!$C$50*((('2025 IR Data Book'!$A$5)))</f>
        <v>2.2137031022793963E-2</v>
      </c>
      <c r="R45" s="57">
        <f>'[11]C.F Final as Financials'!$C$51*((('2025 IR Data Book'!$A$5)))</f>
        <v>0</v>
      </c>
      <c r="S45" s="57">
        <f>'[12]C.F Final as Financials'!$C$51*((('2025 IR Data Book'!$A$5)))</f>
        <v>0</v>
      </c>
      <c r="T45" s="57">
        <f>'[13]C.F Final as Financials'!$C$51*((('2025 IR Data Book'!$A$5)))</f>
        <v>0</v>
      </c>
      <c r="U45" s="57">
        <f>'[14]C.F Final as Financials'!$C$51*((('2025 IR Data Book'!$A$5)))</f>
        <v>0</v>
      </c>
      <c r="V45" s="57">
        <f>'[15]C.F Final as Financials'!$C$51*((('2025 IR Data Book'!$A$5)))</f>
        <v>0</v>
      </c>
    </row>
    <row r="46" spans="2:22" x14ac:dyDescent="0.2">
      <c r="B46" s="45" t="s">
        <v>164</v>
      </c>
      <c r="C46" s="57">
        <f>0*('2025 IR Data Book'!$A$5)</f>
        <v>0</v>
      </c>
      <c r="D46" s="57">
        <f>0*('2025 IR Data Book'!$A$5)</f>
        <v>0</v>
      </c>
      <c r="E46" s="57">
        <f>289566*('2025 IR Data Book'!$A$5)</f>
        <v>289566</v>
      </c>
      <c r="F46" s="57">
        <f>289566*('2025 IR Data Book'!$A$5)</f>
        <v>289566</v>
      </c>
      <c r="G46" s="57">
        <f>2545*('2025 IR Data Book'!$A$5)</f>
        <v>2545</v>
      </c>
      <c r="H46" s="57">
        <f>2545*('2025 IR Data Book'!$A$5)</f>
        <v>2545</v>
      </c>
      <c r="I46" s="57">
        <f>15255.943674*(('2025 IR Data Book'!$A$5))</f>
        <v>15255.943674</v>
      </c>
      <c r="J46" s="57">
        <f>16449.8*(('2025 IR Data Book'!$A$5))</f>
        <v>16449.8</v>
      </c>
      <c r="K46" s="57">
        <f>36083*(('2025 IR Data Book'!$A$5))</f>
        <v>36083</v>
      </c>
      <c r="L46" s="57">
        <f>36082.3125*((('2025 IR Data Book'!$A$5)))</f>
        <v>36082.3125</v>
      </c>
      <c r="M46" s="57">
        <f>36082.3125*((('2025 IR Data Book'!$A$5)))</f>
        <v>36082.3125</v>
      </c>
      <c r="N46" s="57">
        <f>'[7]C.F Final as Financials'!$C$49*((('2025 IR Data Book'!$A$5)))</f>
        <v>36082.3125</v>
      </c>
      <c r="O46" s="57">
        <f>'[8]C.F Final as Financials'!$C$50*((('2025 IR Data Book'!$A$5)))</f>
        <v>0</v>
      </c>
      <c r="P46" s="57">
        <f>'[9]C.F Final as Financials'!$C$50*((('2025 IR Data Book'!$A$5)))</f>
        <v>0</v>
      </c>
      <c r="Q46" s="57">
        <f>'[10]C.F Final as Financials'!$C$51*((('2025 IR Data Book'!$A$5)))</f>
        <v>0</v>
      </c>
      <c r="R46" s="57">
        <f>'[11]C.F Final as Financials'!$C$52*((('2025 IR Data Book'!$A$5)))</f>
        <v>0</v>
      </c>
      <c r="S46" s="57">
        <f>'[12]C.F Final as Financials'!$C$52*((('2025 IR Data Book'!$A$5)))</f>
        <v>0</v>
      </c>
      <c r="T46" s="57">
        <f>'[13]C.F Final as Financials'!$C$52*((('2025 IR Data Book'!$A$5)))</f>
        <v>0</v>
      </c>
      <c r="U46" s="57">
        <f>'[14]C.F Final as Financials'!$C$52*((('2025 IR Data Book'!$A$5)))</f>
        <v>0</v>
      </c>
      <c r="V46" s="57">
        <f>'[15]C.F Final as Financials'!$C$52*((('2025 IR Data Book'!$A$5)))</f>
        <v>0</v>
      </c>
    </row>
    <row r="47" spans="2:22" x14ac:dyDescent="0.2">
      <c r="B47" s="45" t="s">
        <v>165</v>
      </c>
      <c r="C47" s="57">
        <f>0*('2025 IR Data Book'!$A$5)</f>
        <v>0</v>
      </c>
      <c r="D47" s="57">
        <f>-4659*('2025 IR Data Book'!$A$5)</f>
        <v>-4659</v>
      </c>
      <c r="E47" s="57">
        <f>-5142*('2025 IR Data Book'!$A$5)</f>
        <v>-5142</v>
      </c>
      <c r="F47" s="57">
        <f>0*('2025 IR Data Book'!$A$5)</f>
        <v>0</v>
      </c>
      <c r="G47" s="57">
        <f>0*('2025 IR Data Book'!$A$5)</f>
        <v>0</v>
      </c>
      <c r="H47" s="57">
        <f>0*('2025 IR Data Book'!$A$5)</f>
        <v>0</v>
      </c>
      <c r="I47" s="57">
        <f>0*(('2025 IR Data Book'!$A$5))</f>
        <v>0</v>
      </c>
      <c r="J47" s="57">
        <f>0*(('2025 IR Data Book'!$A$5))</f>
        <v>0</v>
      </c>
      <c r="K47" s="57">
        <f>0*(('2025 IR Data Book'!$A$5))</f>
        <v>0</v>
      </c>
      <c r="L47" s="57">
        <f>0*((('2025 IR Data Book'!$A$5)))</f>
        <v>0</v>
      </c>
      <c r="M47" s="57">
        <f>0*((('2025 IR Data Book'!$A$5)))</f>
        <v>0</v>
      </c>
      <c r="N47" s="57">
        <f>0*((('2025 IR Data Book'!$A$5)))</f>
        <v>0</v>
      </c>
      <c r="O47" s="57">
        <f>'[8]C.F Final as Financials'!$C$45*((('2025 IR Data Book'!$A$5)))</f>
        <v>-1560.855</v>
      </c>
      <c r="P47" s="57">
        <f>'[9]C.F Final as Financials'!$C$45*((('2025 IR Data Book'!$A$5)))</f>
        <v>-1560.855</v>
      </c>
      <c r="Q47" s="57">
        <f>'[10]C.F Final as Financials'!$C$45*((('2025 IR Data Book'!$A$5)))</f>
        <v>-1560.855</v>
      </c>
      <c r="R47" s="57">
        <f>'[11]C.F Final as Financials'!$C$46*((('2025 IR Data Book'!$A$5)))</f>
        <v>-1560.855</v>
      </c>
      <c r="S47" s="57">
        <f>'[12]C.F Final as Financials'!$C$46*((('2025 IR Data Book'!$A$5)))</f>
        <v>0</v>
      </c>
      <c r="T47" s="57">
        <f>'[13]C.F Final as Financials'!$C$46*((('2025 IR Data Book'!$A$5)))</f>
        <v>0</v>
      </c>
      <c r="U47" s="57">
        <f>'[14]C.F Final as Financials'!$C$46*((('2025 IR Data Book'!$A$5)))</f>
        <v>0</v>
      </c>
      <c r="V47" s="57">
        <f>'[15]C.F Final as Financials'!$C$46*((('2025 IR Data Book'!$A$5)))</f>
        <v>-1.5721821573606576E-3</v>
      </c>
    </row>
    <row r="48" spans="2:22" x14ac:dyDescent="0.2">
      <c r="B48" s="45" t="s">
        <v>166</v>
      </c>
      <c r="C48" s="57"/>
      <c r="D48" s="57"/>
      <c r="E48" s="57"/>
      <c r="F48" s="57"/>
      <c r="G48" s="57"/>
      <c r="H48" s="57"/>
      <c r="I48" s="57">
        <f>0*(('2025 IR Data Book'!$A$5))</f>
        <v>0</v>
      </c>
      <c r="J48" s="57">
        <f>-943032.761036743*(('2025 IR Data Book'!$A$5))</f>
        <v>-943032.76103674294</v>
      </c>
      <c r="K48" s="57">
        <f>0*(('2025 IR Data Book'!$A$5))</f>
        <v>0</v>
      </c>
      <c r="L48" s="57">
        <f>0*((('2025 IR Data Book'!$A$5)))</f>
        <v>0</v>
      </c>
      <c r="M48" s="57">
        <f>11287.1411388*((('2025 IR Data Book'!$A$5)))</f>
        <v>11287.1411388</v>
      </c>
      <c r="N48" s="57">
        <f>'[7]C.F Final as Financials'!$C$44*((('2025 IR Data Book'!$A$5)))</f>
        <v>11287.141138800001</v>
      </c>
      <c r="O48" s="57">
        <f>'[8]C.F Final as Financials'!$C$44*((('2025 IR Data Book'!$A$5)))</f>
        <v>-21378.51028205494</v>
      </c>
      <c r="P48" s="57">
        <f>'[9]C.F Final as Financials'!$C$44*((('2025 IR Data Book'!$A$5)))</f>
        <v>-23127.324771167896</v>
      </c>
      <c r="Q48" s="57">
        <f>'[10]C.F Final as Financials'!$C$44*((('2025 IR Data Book'!$A$5)))</f>
        <v>-23127.324771167896</v>
      </c>
      <c r="R48" s="57">
        <f>'[11]C.F Final as Financials'!$C$45*((('2025 IR Data Book'!$A$5)))</f>
        <v>-27137.456329217555</v>
      </c>
      <c r="S48" s="57">
        <f>'[12]C.F Final as Financials'!$C$45*((('2025 IR Data Book'!$A$5)))</f>
        <v>0</v>
      </c>
      <c r="T48" s="57">
        <f>'[13]C.F Final as Financials'!$C$45*((('2025 IR Data Book'!$A$5)))</f>
        <v>0</v>
      </c>
      <c r="U48" s="57">
        <f>'[14]C.F Final as Financials'!$C$45*((('2025 IR Data Book'!$A$5)))</f>
        <v>0</v>
      </c>
      <c r="V48" s="57">
        <f>'[15]C.F Final as Financials'!$C$45*((('2025 IR Data Book'!$A$5)))</f>
        <v>-2994.8752436647178</v>
      </c>
    </row>
    <row r="49" spans="2:22" x14ac:dyDescent="0.2">
      <c r="B49" s="45" t="s">
        <v>167</v>
      </c>
      <c r="C49" s="57">
        <f>4557*('2025 IR Data Book'!$A$5)</f>
        <v>4557</v>
      </c>
      <c r="D49" s="57">
        <f>4557*('2025 IR Data Book'!$A$5)</f>
        <v>4557</v>
      </c>
      <c r="E49" s="57">
        <f>13209*('2025 IR Data Book'!$A$5)</f>
        <v>13209</v>
      </c>
      <c r="F49" s="57">
        <f>13209*('2025 IR Data Book'!$A$5)</f>
        <v>13209</v>
      </c>
      <c r="G49" s="57">
        <f>0*('2025 IR Data Book'!$A$5)</f>
        <v>0</v>
      </c>
      <c r="H49" s="57">
        <f>8728*('2025 IR Data Book'!$A$5)</f>
        <v>8728</v>
      </c>
      <c r="I49" s="57">
        <f>8729.19643474623*(('2025 IR Data Book'!$A$5))</f>
        <v>8729.1964347462308</v>
      </c>
      <c r="J49" s="57">
        <f>18208.7389425462*(('2025 IR Data Book'!$A$5))</f>
        <v>18208.738942546199</v>
      </c>
      <c r="K49" s="57">
        <f>0*(('2025 IR Data Book'!$A$5))</f>
        <v>0</v>
      </c>
      <c r="L49" s="57">
        <v>0</v>
      </c>
      <c r="M49" s="57">
        <v>0</v>
      </c>
      <c r="N49" s="57">
        <f>'[7]C.F Final as Financials'!$C$50*((('2025 IR Data Book'!$A$5)))</f>
        <v>5731.3617279115779</v>
      </c>
      <c r="O49" s="57">
        <f>'[8]C.F Final as Financials'!$C$51*((('2025 IR Data Book'!$A$5)))</f>
        <v>0</v>
      </c>
      <c r="P49" s="57">
        <f>'[9]C.F Final as Financials'!$C$51*((('2025 IR Data Book'!$A$5)))</f>
        <v>0</v>
      </c>
      <c r="Q49" s="57">
        <f>'[10]C.F Final as Financials'!$C$52*((('2025 IR Data Book'!$A$5)))</f>
        <v>0</v>
      </c>
      <c r="R49" s="57">
        <f>'[11]C.F Final as Financials'!$C$53*((('2025 IR Data Book'!$A$5)))</f>
        <v>4216.253014767598</v>
      </c>
      <c r="S49" s="57">
        <f>'[12]C.F Final as Financials'!$C$53*((('2025 IR Data Book'!$A$5)))</f>
        <v>0</v>
      </c>
      <c r="T49" s="57">
        <f>'[13]C.F Final as Financials'!$C$53*((('2025 IR Data Book'!$A$5)))</f>
        <v>0</v>
      </c>
      <c r="U49" s="57">
        <f>'[14]C.F Final as Financials'!$C$53*((('2025 IR Data Book'!$A$5)))</f>
        <v>0</v>
      </c>
      <c r="V49" s="57">
        <f>'[15]C.F Final as Financials'!$C$53*((('2025 IR Data Book'!$A$5)))</f>
        <v>184.99144383780001</v>
      </c>
    </row>
    <row r="50" spans="2:22" x14ac:dyDescent="0.2">
      <c r="B50" s="45" t="s">
        <v>168</v>
      </c>
      <c r="C50" s="57">
        <f>0*('2025 IR Data Book'!$A$5)</f>
        <v>0</v>
      </c>
      <c r="D50" s="57">
        <f>0*('2025 IR Data Book'!$A$5)</f>
        <v>0</v>
      </c>
      <c r="E50" s="57">
        <f>0*('2025 IR Data Book'!$A$5)</f>
        <v>0</v>
      </c>
      <c r="F50" s="57">
        <f>-4895*('2025 IR Data Book'!$A$5)</f>
        <v>-4895</v>
      </c>
      <c r="G50" s="57">
        <f>0*('2025 IR Data Book'!$A$5)</f>
        <v>0</v>
      </c>
      <c r="H50" s="57">
        <f>0*('2025 IR Data Book'!$A$5)</f>
        <v>0</v>
      </c>
      <c r="I50" s="57">
        <f>0*(('2025 IR Data Book'!$A$5))</f>
        <v>0</v>
      </c>
      <c r="J50" s="57">
        <f>-0.175270342850126*(('2025 IR Data Book'!$A$5))</f>
        <v>-0.17527034285012599</v>
      </c>
      <c r="K50" s="57">
        <f>0*(('2025 IR Data Book'!$A$5))</f>
        <v>0</v>
      </c>
      <c r="L50" s="57">
        <f>0*((('2025 IR Data Book'!$A$5)))</f>
        <v>0</v>
      </c>
      <c r="M50" s="57">
        <f>0*((('2025 IR Data Book'!$A$5)))</f>
        <v>0</v>
      </c>
      <c r="N50" s="57">
        <f>0*((('2025 IR Data Book'!$A$5)))</f>
        <v>0</v>
      </c>
      <c r="O50" s="57">
        <f>0*((('2025 IR Data Book'!$A$5)))</f>
        <v>0</v>
      </c>
      <c r="P50" s="57">
        <f>0*((('2025 IR Data Book'!$A$5)))</f>
        <v>0</v>
      </c>
      <c r="Q50" s="57">
        <f>0*((('2025 IR Data Book'!$A$5)))</f>
        <v>0</v>
      </c>
      <c r="R50" s="57">
        <f>0*((('2025 IR Data Book'!$A$5)))</f>
        <v>0</v>
      </c>
      <c r="S50" s="57">
        <f>0*((('2025 IR Data Book'!$A$5)))</f>
        <v>0</v>
      </c>
      <c r="T50" s="57">
        <f>0*((('2025 IR Data Book'!$A$5)))</f>
        <v>0</v>
      </c>
      <c r="U50" s="57">
        <f>0*((('2025 IR Data Book'!$A$5)))</f>
        <v>0</v>
      </c>
      <c r="V50" s="57">
        <f>0*((('2025 IR Data Book'!$A$5)))</f>
        <v>0</v>
      </c>
    </row>
    <row r="51" spans="2:22" x14ac:dyDescent="0.2">
      <c r="B51" s="45" t="s">
        <v>169</v>
      </c>
      <c r="C51" s="57">
        <f>218*('2025 IR Data Book'!$A$5)</f>
        <v>218</v>
      </c>
      <c r="D51" s="57">
        <f>964*('2025 IR Data Book'!$A$5)</f>
        <v>964</v>
      </c>
      <c r="E51" s="57">
        <f>1099*('2025 IR Data Book'!$A$5)</f>
        <v>1099</v>
      </c>
      <c r="F51" s="57">
        <f>117*('2025 IR Data Book'!$A$5)</f>
        <v>117</v>
      </c>
      <c r="G51" s="57">
        <f>16*('2025 IR Data Book'!$A$5)</f>
        <v>16</v>
      </c>
      <c r="H51" s="57">
        <f>196*('2025 IR Data Book'!$A$5)</f>
        <v>196</v>
      </c>
      <c r="I51" s="57">
        <f>332.485447093773*(('2025 IR Data Book'!$A$5))</f>
        <v>332.48544709377302</v>
      </c>
      <c r="J51" s="57">
        <f>-2184.69192783834*(('2025 IR Data Book'!$A$5))</f>
        <v>-2184.6919278383398</v>
      </c>
      <c r="K51" s="57">
        <f>377*(('2025 IR Data Book'!$A$5))</f>
        <v>377</v>
      </c>
      <c r="L51" s="57">
        <f>103.057062464837*((('2025 IR Data Book'!$A$5)))</f>
        <v>103.057062464837</v>
      </c>
      <c r="M51" s="57">
        <f>-885.864328611081*((('2025 IR Data Book'!$A$5)))</f>
        <v>-885.86432861108096</v>
      </c>
      <c r="N51" s="57">
        <f>'[7]C.F Final as Financials'!$C$51*((('2025 IR Data Book'!$A$5)))</f>
        <v>-1107.0151633756832</v>
      </c>
      <c r="O51" s="57">
        <f>'[8]C.F Final as Financials'!$C$52*((('2025 IR Data Book'!$A$5)))</f>
        <v>-3810.3746511923764</v>
      </c>
      <c r="P51" s="57">
        <f>'[9]C.F Final as Financials'!$C$52*((('2025 IR Data Book'!$A$5)))</f>
        <v>-3516.3856865527214</v>
      </c>
      <c r="Q51" s="57">
        <f>'[10]C.F Final as Financials'!$C$53*((('2025 IR Data Book'!$A$5)))</f>
        <v>-11381.770085596265</v>
      </c>
      <c r="R51" s="57">
        <f>'[11]C.F Final as Financials'!$C$54*((('2025 IR Data Book'!$A$5)))</f>
        <v>-6166.7488759305616</v>
      </c>
      <c r="S51" s="57">
        <f>'[12]C.F Final as Financials'!$C$54*((('2025 IR Data Book'!$A$5)))</f>
        <v>-419.03163374132617</v>
      </c>
      <c r="T51" s="57">
        <f>'[13]C.F Final as Financials'!$C$54*((('2025 IR Data Book'!$A$5)))</f>
        <v>-756.76333417828585</v>
      </c>
      <c r="U51" s="57">
        <f>'[14]C.F Final as Financials'!$C$54*((('2025 IR Data Book'!$A$5)))</f>
        <v>-55.831858328696548</v>
      </c>
      <c r="V51" s="57">
        <f>'[15]C.F Final as Financials'!$C$54*((('2025 IR Data Book'!$A$5)))</f>
        <v>475.24632817092123</v>
      </c>
    </row>
    <row r="52" spans="2:22" x14ac:dyDescent="0.2">
      <c r="B52" s="45" t="s">
        <v>170</v>
      </c>
      <c r="C52" s="57">
        <f>-2777*('2025 IR Data Book'!$A$5)</f>
        <v>-2777</v>
      </c>
      <c r="D52" s="57">
        <f>-7758*('2025 IR Data Book'!$A$5)</f>
        <v>-7758</v>
      </c>
      <c r="E52" s="57">
        <f>0*('2025 IR Data Book'!$A$5)</f>
        <v>0</v>
      </c>
      <c r="F52" s="57">
        <f>-12132*('2025 IR Data Book'!$A$5)</f>
        <v>-12132</v>
      </c>
      <c r="G52" s="57">
        <f>-815*('2025 IR Data Book'!$A$5)</f>
        <v>-815</v>
      </c>
      <c r="H52" s="57">
        <f>2743*('2025 IR Data Book'!$A$5)</f>
        <v>2743</v>
      </c>
      <c r="I52" s="57">
        <f>2753.51740387131*(('2025 IR Data Book'!$A$5))</f>
        <v>2753.5174038713099</v>
      </c>
      <c r="J52" s="57">
        <f>3967.57154230902*(('2025 IR Data Book'!$A$5))</f>
        <v>3967.5715423090201</v>
      </c>
      <c r="K52" s="57">
        <f>-117*(('2025 IR Data Book'!$A$5))</f>
        <v>-117</v>
      </c>
      <c r="L52" s="57">
        <f>-120.309753082349*((('2025 IR Data Book'!$A$5)))</f>
        <v>-120.309753082349</v>
      </c>
      <c r="M52" s="57">
        <f>-133.739990658582*((('2025 IR Data Book'!$A$5)))</f>
        <v>-133.739990658582</v>
      </c>
      <c r="N52" s="57">
        <f>'[7]C.F Final as Financials'!$C$52*((('2025 IR Data Book'!$A$5)))</f>
        <v>-140.87833085127437</v>
      </c>
      <c r="O52" s="57">
        <f>'[8]C.F Final as Financials'!$C$53*((('2025 IR Data Book'!$A$5)))</f>
        <v>-4.6552003888728848</v>
      </c>
      <c r="P52" s="57">
        <f>'[9]C.F Final as Financials'!$C$53*((('2025 IR Data Book'!$A$5)))</f>
        <v>8.9739594043361706</v>
      </c>
      <c r="Q52" s="57">
        <f>'[10]C.F Final as Financials'!$C$54*((('2025 IR Data Book'!$A$5)))</f>
        <v>6.6523076005044288</v>
      </c>
      <c r="R52" s="57">
        <f>'[11]C.F Final as Financials'!$C$55*((('2025 IR Data Book'!$A$5)))</f>
        <v>-23.014475777881358</v>
      </c>
      <c r="S52" s="57">
        <f>'[12]C.F Final as Financials'!$C$55*((('2025 IR Data Book'!$A$5)))</f>
        <v>13.283177572514973</v>
      </c>
      <c r="T52" s="57">
        <f>'[13]C.F Final as Financials'!$C$55*((('2025 IR Data Book'!$A$5)))</f>
        <v>15.590996203039538</v>
      </c>
      <c r="U52" s="57">
        <f>'[14]C.F Final as Financials'!$C$55*((('2025 IR Data Book'!$A$5)))</f>
        <v>0.42679826257284503</v>
      </c>
      <c r="V52" s="57">
        <f>'[15]C.F Final as Financials'!$C$55*((('2025 IR Data Book'!$A$5)))</f>
        <v>18.966284296431382</v>
      </c>
    </row>
    <row r="53" spans="2:22" x14ac:dyDescent="0.2">
      <c r="B53" s="45" t="s">
        <v>171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>
        <f>'[9]C.F Final as Financials'!$C$54*((('2025 IR Data Book'!$A$5)))</f>
        <v>-1342.8976975575042</v>
      </c>
      <c r="Q53" s="57">
        <f>'[10]C.F Final as Financials'!$C$55*((('2025 IR Data Book'!$A$5)))</f>
        <v>-1664.5355081732805</v>
      </c>
      <c r="R53" s="57">
        <v>0</v>
      </c>
      <c r="S53" s="57">
        <v>0</v>
      </c>
      <c r="T53" s="57">
        <v>0</v>
      </c>
      <c r="U53" s="57">
        <v>0</v>
      </c>
      <c r="V53" s="57">
        <v>0</v>
      </c>
    </row>
    <row r="54" spans="2:22" x14ac:dyDescent="0.2">
      <c r="B54" s="45" t="s">
        <v>172</v>
      </c>
      <c r="C54" s="57">
        <f>410*('2025 IR Data Book'!$A$5)</f>
        <v>410</v>
      </c>
      <c r="D54" s="57">
        <f>190505*('2025 IR Data Book'!$A$5)</f>
        <v>190505</v>
      </c>
      <c r="E54" s="57">
        <f>-120174*('2025 IR Data Book'!$A$5)</f>
        <v>-120174</v>
      </c>
      <c r="F54" s="57">
        <f>(1901+195040)*('2025 IR Data Book'!$A$5)</f>
        <v>196941</v>
      </c>
      <c r="G54" s="57">
        <f>128*('2025 IR Data Book'!$A$5)</f>
        <v>128</v>
      </c>
      <c r="H54" s="57">
        <f>45155*('2025 IR Data Book'!$A$5)</f>
        <v>45155</v>
      </c>
      <c r="I54" s="57">
        <f>45142.2209088347*(('2025 IR Data Book'!$A$5))</f>
        <v>45142.220908834701</v>
      </c>
      <c r="J54" s="57">
        <f>45619.2415088347*(('2025 IR Data Book'!$A$5))</f>
        <v>45619.241508834697</v>
      </c>
      <c r="K54" s="57">
        <f>187*(('2025 IR Data Book'!$A$5))</f>
        <v>187</v>
      </c>
      <c r="L54" s="57">
        <f>304.596876848664*((('2025 IR Data Book'!$A$5)))</f>
        <v>304.59687684866401</v>
      </c>
      <c r="M54" s="57">
        <f>2140.97415741659*((('2025 IR Data Book'!$A$5)))</f>
        <v>2140.9741574165901</v>
      </c>
      <c r="N54" s="57">
        <f>'[7]C.F Final as Financials'!$C$53*((('2025 IR Data Book'!$A$5)))</f>
        <v>1777.822395005164</v>
      </c>
      <c r="O54" s="57">
        <f>'[8]C.F Final as Financials'!$C$54*((('2025 IR Data Book'!$A$5)))</f>
        <v>294.65412865365647</v>
      </c>
      <c r="P54" s="57">
        <f>'[9]C.F Final as Financials'!$C$55*((('2025 IR Data Book'!$A$5)))</f>
        <v>230.35254946137479</v>
      </c>
      <c r="Q54" s="57">
        <f>'[10]C.F Final as Financials'!$C$56*((('2025 IR Data Book'!$A$5)))</f>
        <v>1671.7770978293368</v>
      </c>
      <c r="R54" s="57">
        <f>'[11]C.F Final as Financials'!$C$57*((('2025 IR Data Book'!$A$5)))</f>
        <v>1879.2889424061636</v>
      </c>
      <c r="S54" s="57">
        <f>'[12]C.F Final as Financials'!$C$57*((('2025 IR Data Book'!$A$5)))</f>
        <v>148.49734339673205</v>
      </c>
      <c r="T54" s="57">
        <f>'[13]C.F Final as Financials'!$C$57*((('2025 IR Data Book'!$A$5)))</f>
        <v>-1190.0774774957579</v>
      </c>
      <c r="U54" s="57">
        <f>'[14]C.F Final as Financials'!$C$57*((('2025 IR Data Book'!$A$5)))</f>
        <v>-197.73165014548391</v>
      </c>
      <c r="V54" s="57">
        <f>'[15]C.F Final as Financials'!$C$57*((('2025 IR Data Book'!$A$5)))</f>
        <v>-1441.5314138363715</v>
      </c>
    </row>
    <row r="55" spans="2:22" x14ac:dyDescent="0.2">
      <c r="B55" s="45" t="s">
        <v>322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>
        <f>+'[11]C.F Final as Financials'!$C$56*((('2025 IR Data Book'!$A$5)))</f>
        <v>-1418.7396266591793</v>
      </c>
      <c r="S55" s="57">
        <f>+'[12]C.F Final as Financials'!$C$56</f>
        <v>0</v>
      </c>
      <c r="T55" s="57">
        <f>+'[13]C.F Final as Financials'!$C$56</f>
        <v>0</v>
      </c>
      <c r="U55" s="57">
        <f>+'[14]C.F Final as Financials'!$C$56</f>
        <v>0</v>
      </c>
      <c r="V55" s="57">
        <f>+'[15]C.F Final as Financials'!$C$56</f>
        <v>0</v>
      </c>
    </row>
    <row r="56" spans="2:22" x14ac:dyDescent="0.2">
      <c r="B56" s="45" t="s">
        <v>173</v>
      </c>
      <c r="C56" s="57">
        <f>0*('2025 IR Data Book'!$A$5)</f>
        <v>0</v>
      </c>
      <c r="D56" s="57">
        <f>0*('2025 IR Data Book'!$A$5)</f>
        <v>0</v>
      </c>
      <c r="E56" s="57">
        <f>0*('2025 IR Data Book'!$A$5)</f>
        <v>0</v>
      </c>
      <c r="F56" s="57">
        <f>567*('2025 IR Data Book'!$A$5)</f>
        <v>567</v>
      </c>
      <c r="G56" s="57">
        <f>0*('2025 IR Data Book'!$A$5)</f>
        <v>0</v>
      </c>
      <c r="H56" s="57">
        <f>0*('2025 IR Data Book'!$A$5)</f>
        <v>0</v>
      </c>
      <c r="I56" s="57">
        <f>(0*('2025 IR Data Book'!$A$5))*(('2025 IR Data Book'!$A$5))</f>
        <v>0</v>
      </c>
      <c r="J56" s="57">
        <f>(0*('2025 IR Data Book'!$A$5))*(('2025 IR Data Book'!$A$5))</f>
        <v>0</v>
      </c>
      <c r="K56" s="57">
        <f>(0*('2025 IR Data Book'!$A$5))*(('2025 IR Data Book'!$A$5))</f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T56" s="57">
        <v>0</v>
      </c>
      <c r="U56" s="57"/>
      <c r="V56" s="57"/>
    </row>
    <row r="57" spans="2:22" ht="15" x14ac:dyDescent="0.2">
      <c r="B57" s="270" t="s">
        <v>174</v>
      </c>
      <c r="C57" s="47">
        <f t="shared" ref="C57:P57" si="27">SUM(C41:C56)</f>
        <v>-28235</v>
      </c>
      <c r="D57" s="47">
        <f t="shared" si="27"/>
        <v>127715</v>
      </c>
      <c r="E57" s="47">
        <f t="shared" si="27"/>
        <v>90133</v>
      </c>
      <c r="F57" s="47">
        <f t="shared" si="27"/>
        <v>367038</v>
      </c>
      <c r="G57" s="47">
        <f t="shared" si="27"/>
        <v>-12028</v>
      </c>
      <c r="H57" s="47">
        <f t="shared" si="27"/>
        <v>24074</v>
      </c>
      <c r="I57" s="47">
        <f t="shared" si="27"/>
        <v>26123.108029440216</v>
      </c>
      <c r="J57" s="47">
        <f t="shared" si="27"/>
        <v>-931601.49460236717</v>
      </c>
      <c r="K57" s="47">
        <f t="shared" si="27"/>
        <v>20614.048493120623</v>
      </c>
      <c r="L57" s="47">
        <f t="shared" si="27"/>
        <v>-22849.400749267592</v>
      </c>
      <c r="M57" s="47">
        <f t="shared" si="27"/>
        <v>-30403.827837736393</v>
      </c>
      <c r="N57" s="47">
        <f t="shared" si="27"/>
        <v>-60858.370648457341</v>
      </c>
      <c r="O57" s="47">
        <f t="shared" si="27"/>
        <v>-50209.443143538847</v>
      </c>
      <c r="P57" s="47">
        <f t="shared" si="27"/>
        <v>-78543.322048073751</v>
      </c>
      <c r="Q57" s="47">
        <f t="shared" ref="Q57:R57" si="28">SUM(Q41:Q56)</f>
        <v>-106256.39198313959</v>
      </c>
      <c r="R57" s="47">
        <f t="shared" si="28"/>
        <v>-141924.29669668077</v>
      </c>
      <c r="S57" s="47">
        <f t="shared" ref="S57:T57" si="29">SUM(S41:S56)</f>
        <v>-43523.484369953185</v>
      </c>
      <c r="T57" s="47">
        <f t="shared" si="29"/>
        <v>-76478.653682681703</v>
      </c>
      <c r="U57" s="47">
        <f t="shared" ref="U57:V57" si="30">SUM(U41:U56)</f>
        <v>-105141.00655774547</v>
      </c>
      <c r="V57" s="47">
        <f t="shared" si="30"/>
        <v>-143665.29200604284</v>
      </c>
    </row>
    <row r="58" spans="2:22" x14ac:dyDescent="0.2"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</row>
    <row r="59" spans="2:22" x14ac:dyDescent="0.2">
      <c r="B59" s="46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</row>
    <row r="60" spans="2:22" x14ac:dyDescent="0.2">
      <c r="B60" s="267" t="s">
        <v>175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</row>
    <row r="61" spans="2:22" x14ac:dyDescent="0.2">
      <c r="B61" s="46" t="s">
        <v>176</v>
      </c>
      <c r="C61" s="49">
        <f>-17726*('2025 IR Data Book'!$A$5)</f>
        <v>-17726</v>
      </c>
      <c r="D61" s="49">
        <f>-32563*('2025 IR Data Book'!$A$5)</f>
        <v>-32563</v>
      </c>
      <c r="E61" s="49">
        <f>-46408*('2025 IR Data Book'!$A$5)</f>
        <v>-46408</v>
      </c>
      <c r="F61" s="49">
        <f>-60218*('2025 IR Data Book'!$A$5)</f>
        <v>-60218</v>
      </c>
      <c r="G61" s="49">
        <f>-12262*('2025 IR Data Book'!$A$5)</f>
        <v>-12262</v>
      </c>
      <c r="H61" s="49">
        <f>-27657*('2025 IR Data Book'!$A$5)</f>
        <v>-27657</v>
      </c>
      <c r="I61" s="49">
        <f>-44033.9826625978*(('2025 IR Data Book'!$A$5))</f>
        <v>-44033.982662597802</v>
      </c>
      <c r="J61" s="49">
        <f>-60186.5962564553*(('2025 IR Data Book'!$A$5))</f>
        <v>-60186.596256455297</v>
      </c>
      <c r="K61" s="49">
        <f>-16030*(('2025 IR Data Book'!$A$5))</f>
        <v>-16030</v>
      </c>
      <c r="L61" s="49">
        <f>-59431.5215119299*((('2025 IR Data Book'!$A$5)))</f>
        <v>-59431.521511929903</v>
      </c>
      <c r="M61" s="49">
        <f>-90349.87157544*((('2025 IR Data Book'!$A$5)))</f>
        <v>-90349.871575440004</v>
      </c>
      <c r="N61" s="49">
        <f>'[7]C.F Final as Financials'!$C$59*((('2025 IR Data Book'!$A$5)))</f>
        <v>-109031.03559761918</v>
      </c>
      <c r="O61" s="49">
        <f>'[8]C.F Final as Financials'!$C$60*((('2025 IR Data Book'!$A$5)))</f>
        <v>-33979.395590421089</v>
      </c>
      <c r="P61" s="49">
        <f>'[9]C.F Final as Financials'!$C$61*((('2025 IR Data Book'!$A$5)))</f>
        <v>-64112.54300090333</v>
      </c>
      <c r="Q61" s="49">
        <f>'[10]C.F Final as Financials'!$C$62*((('2025 IR Data Book'!$A$5)))</f>
        <v>-95956.784482042844</v>
      </c>
      <c r="R61" s="49">
        <f>'[11]C.F Final as Financials'!$C$63*((('2025 IR Data Book'!$A$5)))</f>
        <v>-126757.7236296499</v>
      </c>
      <c r="S61" s="49">
        <f>'[12]C.F Final as Financials'!$C$63*((('2025 IR Data Book'!$A$5)))</f>
        <v>-28543.569855939917</v>
      </c>
      <c r="T61" s="49">
        <f>'[13]C.F Final as Financials'!$C$63*((('2025 IR Data Book'!$A$5)))</f>
        <v>-56189.983276893181</v>
      </c>
      <c r="U61" s="49">
        <f>'[14]C.F Final as Financials'!$C$63*((('2025 IR Data Book'!$A$5)))</f>
        <v>-89519.54425676119</v>
      </c>
      <c r="V61" s="49">
        <f>'[15]C.F Final as Financials'!$C$63*((('2025 IR Data Book'!$A$5)))</f>
        <v>-120335.09858899642</v>
      </c>
    </row>
    <row r="62" spans="2:22" x14ac:dyDescent="0.2">
      <c r="B62" s="46" t="s">
        <v>177</v>
      </c>
      <c r="C62" s="49">
        <f>2166*('2025 IR Data Book'!$A$5)</f>
        <v>2166</v>
      </c>
      <c r="D62" s="49">
        <f>2137*('2025 IR Data Book'!$A$5)</f>
        <v>2137</v>
      </c>
      <c r="E62" s="49">
        <f>3043*('2025 IR Data Book'!$A$5)</f>
        <v>3043</v>
      </c>
      <c r="F62" s="49">
        <f>4044*('2025 IR Data Book'!$A$5)</f>
        <v>4044</v>
      </c>
      <c r="G62" s="49">
        <f>1601*('2025 IR Data Book'!$A$5)</f>
        <v>1601</v>
      </c>
      <c r="H62" s="49">
        <f>6110*('2025 IR Data Book'!$A$5)</f>
        <v>6110</v>
      </c>
      <c r="I62" s="49">
        <f>15464.6045364219*(('2025 IR Data Book'!$A$5))</f>
        <v>15464.604536421901</v>
      </c>
      <c r="J62" s="49">
        <f>996033.540730966*(('2025 IR Data Book'!$A$5))</f>
        <v>996033.54073096602</v>
      </c>
      <c r="K62" s="49">
        <f>25482*(('2025 IR Data Book'!$A$5))</f>
        <v>25482</v>
      </c>
      <c r="L62" s="49">
        <f>27709.4666868058*((('2025 IR Data Book'!$A$5)))</f>
        <v>27709.466686805801</v>
      </c>
      <c r="M62" s="49">
        <f>27385.4030889146*((('2025 IR Data Book'!$A$5)))</f>
        <v>27385.403088914602</v>
      </c>
      <c r="N62" s="49">
        <f>'[7]C.F Final as Financials'!$C$60*((('2025 IR Data Book'!$A$5)))</f>
        <v>34635.533731224801</v>
      </c>
      <c r="O62" s="49">
        <f>'[8]C.F Final as Financials'!$C$61*((('2025 IR Data Book'!$A$5)))</f>
        <v>33390.208253085177</v>
      </c>
      <c r="P62" s="49">
        <f>'[9]C.F Final as Financials'!$C$62*((('2025 IR Data Book'!$A$5)))</f>
        <v>33778.630390439175</v>
      </c>
      <c r="Q62" s="49">
        <f>'[10]C.F Final as Financials'!$C$63*((('2025 IR Data Book'!$A$5)))</f>
        <v>33866.35324679668</v>
      </c>
      <c r="R62" s="49">
        <f>'[11]C.F Final as Financials'!$C$64*((('2025 IR Data Book'!$A$5)))</f>
        <v>31365.896067043348</v>
      </c>
      <c r="S62" s="49">
        <f>'[12]C.F Final as Financials'!$C$64*((('2025 IR Data Book'!$A$5)))</f>
        <v>10115.443184826519</v>
      </c>
      <c r="T62" s="49">
        <f>'[13]C.F Final as Financials'!$C$64*((('2025 IR Data Book'!$A$5)))</f>
        <v>11513.285461522808</v>
      </c>
      <c r="U62" s="49">
        <f>'[14]C.F Final as Financials'!$C$64*((('2025 IR Data Book'!$A$5)))</f>
        <v>11882.550546522734</v>
      </c>
      <c r="V62" s="49">
        <f>'[15]C.F Final as Financials'!$C$64*((('2025 IR Data Book'!$A$5)))</f>
        <v>14208.795628665926</v>
      </c>
    </row>
    <row r="63" spans="2:22" x14ac:dyDescent="0.2">
      <c r="B63" s="46" t="s">
        <v>178</v>
      </c>
      <c r="C63" s="49">
        <f>-160225*('2025 IR Data Book'!$A$5)</f>
        <v>-160225</v>
      </c>
      <c r="D63" s="49">
        <f>-169019*('2025 IR Data Book'!$A$5)</f>
        <v>-169019</v>
      </c>
      <c r="E63" s="49">
        <f>-286405*('2025 IR Data Book'!$A$5)</f>
        <v>-286405</v>
      </c>
      <c r="F63" s="49">
        <f>-544203*('2025 IR Data Book'!$A$5)</f>
        <v>-544203</v>
      </c>
      <c r="G63" s="49">
        <f>-2804*('2025 IR Data Book'!$A$5)</f>
        <v>-2804</v>
      </c>
      <c r="H63" s="49">
        <f>-6930*('2025 IR Data Book'!$A$5)</f>
        <v>-6930</v>
      </c>
      <c r="I63" s="49">
        <f>-16648.3220056357*(('2025 IR Data Book'!$A$5))</f>
        <v>-16648.322005635699</v>
      </c>
      <c r="J63" s="49">
        <f>-24790.5194128191*(('2025 IR Data Book'!$A$5))</f>
        <v>-24790.5194128191</v>
      </c>
      <c r="K63" s="49">
        <f>-18008*(('2025 IR Data Book'!$A$5))</f>
        <v>-18008</v>
      </c>
      <c r="L63" s="49">
        <f>-20227.38117843*((('2025 IR Data Book'!$A$5)))</f>
        <v>-20227.381178430001</v>
      </c>
      <c r="M63" s="49">
        <f>-21924.65992836*((('2025 IR Data Book'!$A$5)))</f>
        <v>-21924.659928360001</v>
      </c>
      <c r="N63" s="49">
        <f>'[7]C.F Final as Financials'!$C$61*((('2025 IR Data Book'!$A$5)))</f>
        <v>-56540.07744660278</v>
      </c>
      <c r="O63" s="49">
        <f>'[8]C.F Final as Financials'!$C$62*((('2025 IR Data Book'!$A$5)))</f>
        <v>-70588.769332641008</v>
      </c>
      <c r="P63" s="49">
        <f>'[9]C.F Final as Financials'!$C$63*((('2025 IR Data Book'!$A$5)))</f>
        <v>-155353.78685068447</v>
      </c>
      <c r="Q63" s="49">
        <f>'[10]C.F Final as Financials'!$C$64*((('2025 IR Data Book'!$A$5)))</f>
        <v>-195455.60750083561</v>
      </c>
      <c r="R63" s="49">
        <f>'[11]C.F Final as Financials'!$C$65*((('2025 IR Data Book'!$A$5)))</f>
        <v>-194293.03702502933</v>
      </c>
      <c r="S63" s="49">
        <f>'[12]C.F Final as Financials'!$C$65*((('2025 IR Data Book'!$A$5)))</f>
        <v>-13781.011337763439</v>
      </c>
      <c r="T63" s="49">
        <f>'[13]C.F Final as Financials'!$C$65*((('2025 IR Data Book'!$A$5)))</f>
        <v>-15489.610871435261</v>
      </c>
      <c r="U63" s="49">
        <f>'[14]C.F Final as Financials'!$C$65*((('2025 IR Data Book'!$A$5)))</f>
        <v>-15224.3694068236</v>
      </c>
      <c r="V63" s="49">
        <f>'[15]C.F Final as Financials'!$C$65*((('2025 IR Data Book'!$A$5)))</f>
        <v>-32918.65562348091</v>
      </c>
    </row>
    <row r="64" spans="2:22" x14ac:dyDescent="0.2">
      <c r="B64" s="46" t="s">
        <v>179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>
        <f>'[9]C.F Final as Financials'!$C$64*((('2025 IR Data Book'!$A$5)))</f>
        <v>-10000</v>
      </c>
      <c r="Q64" s="49">
        <f>'[10]C.F Final as Financials'!$C$65*((('2025 IR Data Book'!$A$5)))</f>
        <v>-10000</v>
      </c>
      <c r="R64" s="49">
        <f>'[11]C.F Final as Financials'!$C$66*((('2025 IR Data Book'!$A$5)))</f>
        <v>-10000</v>
      </c>
      <c r="S64" s="49">
        <f>'[12]C.F Final as Financials'!$C$66*((('2025 IR Data Book'!$A$5)))</f>
        <v>8140.7579999999998</v>
      </c>
      <c r="T64" s="49">
        <f>'[13]C.F Final as Financials'!$C$66*((('2025 IR Data Book'!$A$5)))</f>
        <v>8140.7579999999998</v>
      </c>
      <c r="U64" s="49">
        <f>'[14]C.F Final as Financials'!$C$66*((('2025 IR Data Book'!$A$5)))</f>
        <v>8140.7579999999998</v>
      </c>
      <c r="V64" s="49">
        <f>'[15]C.F Final as Financials'!$C$66*((('2025 IR Data Book'!$A$5)))</f>
        <v>10412.325000000001</v>
      </c>
    </row>
    <row r="65" spans="2:22" x14ac:dyDescent="0.2">
      <c r="B65" s="46" t="s">
        <v>180</v>
      </c>
      <c r="C65" s="49">
        <f>-80409*('2025 IR Data Book'!$A$5)</f>
        <v>-80409</v>
      </c>
      <c r="D65" s="49">
        <f>-137113*('2025 IR Data Book'!$A$5)</f>
        <v>-137113</v>
      </c>
      <c r="E65" s="49">
        <f>-188375*('2025 IR Data Book'!$A$5)</f>
        <v>-188375</v>
      </c>
      <c r="F65" s="49">
        <f>-267254*('2025 IR Data Book'!$A$5)</f>
        <v>-267254</v>
      </c>
      <c r="G65" s="49">
        <f>-82244*('2025 IR Data Book'!$A$5)</f>
        <v>-82244</v>
      </c>
      <c r="H65" s="49">
        <f>-146413*('2025 IR Data Book'!$A$5)</f>
        <v>-146413</v>
      </c>
      <c r="I65" s="49">
        <f>-217221.814012158*(('2025 IR Data Book'!$A$5))</f>
        <v>-217221.81401215799</v>
      </c>
      <c r="J65" s="49">
        <f>-241039*(('2025 IR Data Book'!$A$5))</f>
        <v>-241039</v>
      </c>
      <c r="K65" s="49">
        <f>-84606*(('2025 IR Data Book'!$A$5))</f>
        <v>-84606</v>
      </c>
      <c r="L65" s="49">
        <f>-129436.380678725*((('2025 IR Data Book'!$A$5)))</f>
        <v>-129436.38067872501</v>
      </c>
      <c r="M65" s="49">
        <f>-189046.512717973*((('2025 IR Data Book'!$A$5)))</f>
        <v>-189046.512717973</v>
      </c>
      <c r="N65" s="49">
        <f>'[7]C.F Final as Financials'!$C$62*((('2025 IR Data Book'!$A$5)))</f>
        <v>-226274.93052423574</v>
      </c>
      <c r="O65" s="49">
        <f>'[8]C.F Final as Financials'!$C$63*((('2025 IR Data Book'!$A$5)))</f>
        <v>-91996.483673626848</v>
      </c>
      <c r="P65" s="49">
        <f>'[9]C.F Final as Financials'!$C$65*((('2025 IR Data Book'!$A$5)))</f>
        <v>-131793.84254379928</v>
      </c>
      <c r="Q65" s="49">
        <f>'[10]C.F Final as Financials'!$C$66*((('2025 IR Data Book'!$A$5)))</f>
        <v>-168454.79637325657</v>
      </c>
      <c r="R65" s="49">
        <f>'[11]C.F Final as Financials'!$C$67*((('2025 IR Data Book'!$A$5)))</f>
        <v>-237387.86363762748</v>
      </c>
      <c r="S65" s="49">
        <f>'[12]C.F Final as Financials'!$C$67*((('2025 IR Data Book'!$A$5)))</f>
        <v>-67022.141035671666</v>
      </c>
      <c r="T65" s="49">
        <f>'[13]C.F Final as Financials'!$C$67*((('2025 IR Data Book'!$A$5)))</f>
        <v>-90810.512748492445</v>
      </c>
      <c r="U65" s="49">
        <f>'[14]C.F Final as Financials'!$C$67*((('2025 IR Data Book'!$A$5)))</f>
        <v>-153345.73280707514</v>
      </c>
      <c r="V65" s="49">
        <f>'[15]C.F Final as Financials'!$C$67*((('2025 IR Data Book'!$A$5)))</f>
        <v>-207228.72385374998</v>
      </c>
    </row>
    <row r="66" spans="2:22" x14ac:dyDescent="0.2">
      <c r="B66" s="46" t="s">
        <v>181</v>
      </c>
      <c r="C66" s="49">
        <f>-1202*('2025 IR Data Book'!$A$5)</f>
        <v>-1202</v>
      </c>
      <c r="D66" s="49">
        <f>-2395*('2025 IR Data Book'!$A$5)</f>
        <v>-2395</v>
      </c>
      <c r="E66" s="49">
        <f>-2389*('2025 IR Data Book'!$A$5)</f>
        <v>-2389</v>
      </c>
      <c r="F66" s="49">
        <f>-2654*('2025 IR Data Book'!$A$5)</f>
        <v>-2654</v>
      </c>
      <c r="G66" s="49">
        <f>-449*('2025 IR Data Book'!$A$5)</f>
        <v>-449</v>
      </c>
      <c r="H66" s="49">
        <f>-740*('2025 IR Data Book'!$A$5)</f>
        <v>-740</v>
      </c>
      <c r="I66" s="49">
        <f>-227.886074387136*(('2025 IR Data Book'!$A$5))</f>
        <v>-227.88607438713601</v>
      </c>
      <c r="J66" s="49">
        <f>-222.952795800571*(('2025 IR Data Book'!$A$5))</f>
        <v>-222.95279580057101</v>
      </c>
      <c r="K66" s="49">
        <f>0*(('2025 IR Data Book'!$A$5))</f>
        <v>0</v>
      </c>
      <c r="L66" s="49">
        <f>-7639.01166936051*((('2025 IR Data Book'!$A$5)))</f>
        <v>-7639.0116693605096</v>
      </c>
      <c r="M66" s="49">
        <f>0*((('2025 IR Data Book'!$A$5)))</f>
        <v>0</v>
      </c>
      <c r="N66" s="49">
        <f>'[7]C.F Final as Financials'!$C$63*((('2025 IR Data Book'!$A$5)))</f>
        <v>-1.8071621060785099</v>
      </c>
      <c r="O66" s="49">
        <f>'[8]C.F Final as Financials'!$C$64*((('2025 IR Data Book'!$A$5)))</f>
        <v>0</v>
      </c>
      <c r="P66" s="49">
        <f>'[9]C.F Final as Financials'!$C$66*((('2025 IR Data Book'!$A$5)))</f>
        <v>-388.68600552599287</v>
      </c>
      <c r="Q66" s="49">
        <f>'[10]C.F Final as Financials'!$C$67*((('2025 IR Data Book'!$A$5)))</f>
        <v>-400.06737370971086</v>
      </c>
      <c r="R66" s="49">
        <f>'[11]C.F Final as Financials'!$C$68*((('2025 IR Data Book'!$A$5)))</f>
        <v>-354.18270277461261</v>
      </c>
      <c r="S66" s="49">
        <f>'[12]C.F Final as Financials'!$C$68*((('2025 IR Data Book'!$A$5)))</f>
        <v>0</v>
      </c>
      <c r="T66" s="49">
        <f>'[13]C.F Final as Financials'!$C$68*((('2025 IR Data Book'!$A$5)))</f>
        <v>-879.27068403908447</v>
      </c>
      <c r="U66" s="49">
        <f>'[14]C.F Final as Financials'!$C$69*((('2025 IR Data Book'!$A$5)))</f>
        <v>-880.70505709627434</v>
      </c>
      <c r="V66" s="49">
        <f>'[15]C.F Final as Financials'!$C$69*((('2025 IR Data Book'!$A$5)))</f>
        <v>-879.7721838786465</v>
      </c>
    </row>
    <row r="67" spans="2:22" hidden="1" x14ac:dyDescent="0.2">
      <c r="B67" s="272" t="s">
        <v>182</v>
      </c>
      <c r="C67" s="49">
        <f>0*('2025 IR Data Book'!$A$5)</f>
        <v>0</v>
      </c>
      <c r="D67" s="49">
        <f>0*('2025 IR Data Book'!$A$5)</f>
        <v>0</v>
      </c>
      <c r="E67" s="49">
        <f>0*('2025 IR Data Book'!$A$5)</f>
        <v>0</v>
      </c>
      <c r="F67" s="49">
        <f>0*('2025 IR Data Book'!$A$5)</f>
        <v>0</v>
      </c>
      <c r="G67" s="49">
        <f>0*('2025 IR Data Book'!$A$5)</f>
        <v>0</v>
      </c>
      <c r="H67" s="49">
        <f>0*('2025 IR Data Book'!$A$5)</f>
        <v>0</v>
      </c>
      <c r="I67" s="49">
        <f>0*(('2025 IR Data Book'!$A$5))</f>
        <v>0</v>
      </c>
      <c r="J67" s="49">
        <f>0*(('2025 IR Data Book'!$A$5))</f>
        <v>0</v>
      </c>
      <c r="K67" s="49">
        <f>0*(('2025 IR Data Book'!$A$5))</f>
        <v>0</v>
      </c>
      <c r="L67" s="49">
        <f>0*((('2025 IR Data Book'!$A$5)))</f>
        <v>0</v>
      </c>
      <c r="M67" s="49">
        <f>0*((('2025 IR Data Book'!$A$5)))</f>
        <v>0</v>
      </c>
      <c r="N67" s="49">
        <f>0*((('2025 IR Data Book'!$A$5)))</f>
        <v>0</v>
      </c>
      <c r="O67" s="49">
        <f>0*((('2025 IR Data Book'!$A$5)))</f>
        <v>0</v>
      </c>
      <c r="P67" s="49">
        <f>0*((('2025 IR Data Book'!$A$5)))</f>
        <v>0</v>
      </c>
      <c r="Q67" s="49">
        <f>0*((('2025 IR Data Book'!$A$5)))</f>
        <v>0</v>
      </c>
      <c r="R67" s="49">
        <f>0*((('2025 IR Data Book'!$A$5)))</f>
        <v>0</v>
      </c>
      <c r="S67" s="49">
        <f>0*((('2025 IR Data Book'!$A$5)))</f>
        <v>0</v>
      </c>
      <c r="T67" s="49">
        <f>0*((('2025 IR Data Book'!$A$5)))</f>
        <v>0</v>
      </c>
      <c r="U67" s="49">
        <f>0*((('2025 IR Data Book'!$A$5)))</f>
        <v>0</v>
      </c>
      <c r="V67" s="49">
        <f>0*((('2025 IR Data Book'!$A$5)))</f>
        <v>0</v>
      </c>
    </row>
    <row r="68" spans="2:22" x14ac:dyDescent="0.2">
      <c r="B68" s="272" t="s">
        <v>183</v>
      </c>
      <c r="C68" s="49">
        <f>0*('2025 IR Data Book'!$A$5)</f>
        <v>0</v>
      </c>
      <c r="D68" s="49">
        <f>-190333*('2025 IR Data Book'!$A$5)</f>
        <v>-190333</v>
      </c>
      <c r="E68" s="49">
        <f>-190333*('2025 IR Data Book'!$A$5)</f>
        <v>-190333</v>
      </c>
      <c r="F68" s="49">
        <f>(E68)*('2025 IR Data Book'!$A$5)</f>
        <v>-190333</v>
      </c>
      <c r="G68" s="49">
        <f>0*('2025 IR Data Book'!$A$5)</f>
        <v>0</v>
      </c>
      <c r="H68" s="49">
        <f>-190333*('2025 IR Data Book'!$A$5)</f>
        <v>-190333</v>
      </c>
      <c r="I68" s="49">
        <f>-190333*(('2025 IR Data Book'!$A$5))</f>
        <v>-190333</v>
      </c>
      <c r="J68" s="49">
        <f>-190333*(('2025 IR Data Book'!$A$5))</f>
        <v>-190333</v>
      </c>
      <c r="K68" s="49">
        <f>0*(('2025 IR Data Book'!$A$5))</f>
        <v>0</v>
      </c>
      <c r="L68" s="49">
        <f>-139579.876*((('2025 IR Data Book'!$A$5)))</f>
        <v>-139579.87599999999</v>
      </c>
      <c r="M68" s="49">
        <f>-139579.876*((('2025 IR Data Book'!$A$5)))</f>
        <v>-139579.87599999999</v>
      </c>
      <c r="N68" s="49">
        <f>'[7]C.F Final as Financials'!$C$65*((('2025 IR Data Book'!$A$5)))</f>
        <v>-139579.87599999999</v>
      </c>
      <c r="O68" s="49">
        <f>'[8]C.F Final as Financials'!$C$66*((('2025 IR Data Book'!$A$5)))</f>
        <v>0</v>
      </c>
      <c r="P68" s="49">
        <f>'[9]C.F Final as Financials'!$C$68*((('2025 IR Data Book'!$A$5)))</f>
        <v>0</v>
      </c>
      <c r="Q68" s="49">
        <f>'[10]C.F Final as Financials'!$C$69*((('2025 IR Data Book'!$A$5)))</f>
        <v>0</v>
      </c>
      <c r="R68" s="49">
        <f>'[11]C.F Final as Financials'!$C$69*((('2025 IR Data Book'!$A$5)))</f>
        <v>0</v>
      </c>
      <c r="S68" s="49">
        <f>'[12]C.F Final as Financials'!$C$69*((('2025 IR Data Book'!$A$5)))</f>
        <v>0</v>
      </c>
      <c r="T68" s="49">
        <f>'[13]C.F Final as Financials'!$C$69*((('2025 IR Data Book'!$A$5)))</f>
        <v>0</v>
      </c>
      <c r="U68" s="49"/>
      <c r="V68" s="49"/>
    </row>
    <row r="69" spans="2:22" x14ac:dyDescent="0.2">
      <c r="B69" s="45" t="s">
        <v>184</v>
      </c>
      <c r="C69" s="57">
        <f>0*('2025 IR Data Book'!$A$5)</f>
        <v>0</v>
      </c>
      <c r="D69" s="57">
        <f>0*('2025 IR Data Book'!$A$5)</f>
        <v>0</v>
      </c>
      <c r="E69" s="57">
        <f>0*('2025 IR Data Book'!$A$5)</f>
        <v>0</v>
      </c>
      <c r="F69" s="57">
        <f>0*('2025 IR Data Book'!$A$5)</f>
        <v>0</v>
      </c>
      <c r="G69" s="57">
        <f>0*('2025 IR Data Book'!$A$5)</f>
        <v>0</v>
      </c>
      <c r="H69" s="57">
        <f>0*('2025 IR Data Book'!$A$5)</f>
        <v>0</v>
      </c>
      <c r="I69" s="57">
        <f>0*('2025 IR Data Book'!$A$5)</f>
        <v>0</v>
      </c>
      <c r="J69" s="57">
        <f>0*('2025 IR Data Book'!$A$5)</f>
        <v>0</v>
      </c>
      <c r="K69" s="57">
        <f>0*('2025 IR Data Book'!$A$5)</f>
        <v>0</v>
      </c>
      <c r="L69" s="57">
        <f>0*('2025 IR Data Book'!$A$5)</f>
        <v>0</v>
      </c>
      <c r="M69" s="57">
        <f>-7639.008*((('2025 IR Data Book'!$A$5)))</f>
        <v>-7639.0079999999998</v>
      </c>
      <c r="N69" s="57">
        <f>'[7]C.F Final as Financials'!$C$66*((('2025 IR Data Book'!$A$5)))</f>
        <v>-7639.0079999999998</v>
      </c>
      <c r="O69" s="57">
        <f>'[8]C.F Final as Financials'!$C$67*((('2025 IR Data Book'!$A$5)))</f>
        <v>0</v>
      </c>
      <c r="P69" s="57">
        <f>'[9]C.F Final as Financials'!$C$69*((('2025 IR Data Book'!$A$5)))</f>
        <v>0</v>
      </c>
      <c r="Q69" s="57">
        <f>'[10]C.F Final as Financials'!$C$70*((('2025 IR Data Book'!$A$5)))</f>
        <v>0</v>
      </c>
      <c r="R69" s="57">
        <f>'[11]C.F Final as Financials'!$C$70*((('2025 IR Data Book'!$A$5)))</f>
        <v>0</v>
      </c>
      <c r="S69" s="57">
        <f>'[12]C.F Final as Financials'!$C$70*((('2025 IR Data Book'!$A$5)))</f>
        <v>0</v>
      </c>
      <c r="T69" s="57">
        <f>'[13]C.F Final as Financials'!$C$70*((('2025 IR Data Book'!$A$5)))</f>
        <v>0</v>
      </c>
      <c r="U69" s="57">
        <f>'[14]C.F Final as Financials'!$C$70*((('2025 IR Data Book'!$A$5)))</f>
        <v>0</v>
      </c>
      <c r="V69" s="57">
        <f>'[15]C.F Final as Financials'!$C$70*((('2025 IR Data Book'!$A$5)))</f>
        <v>0</v>
      </c>
    </row>
    <row r="70" spans="2:22" hidden="1" x14ac:dyDescent="0.2">
      <c r="B70" s="45" t="s">
        <v>347</v>
      </c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>
        <f>'[14]C.F Final as Financials'!$C$68*((('2025 IR Data Book'!$A$5)))</f>
        <v>0</v>
      </c>
      <c r="V70" s="57">
        <f>'[15]C.F Final as Financials'!$C$68*((('2025 IR Data Book'!$A$5)))</f>
        <v>0</v>
      </c>
    </row>
    <row r="71" spans="2:22" ht="15" x14ac:dyDescent="0.25">
      <c r="B71" s="270" t="s">
        <v>185</v>
      </c>
      <c r="C71" s="48">
        <f>SUM(C61:C69)</f>
        <v>-257396</v>
      </c>
      <c r="D71" s="48">
        <f t="shared" ref="D71:M71" si="31">SUM(D61:D69)</f>
        <v>-529286</v>
      </c>
      <c r="E71" s="48">
        <f t="shared" si="31"/>
        <v>-710867</v>
      </c>
      <c r="F71" s="48">
        <f t="shared" si="31"/>
        <v>-1060618</v>
      </c>
      <c r="G71" s="48">
        <f t="shared" si="31"/>
        <v>-96158</v>
      </c>
      <c r="H71" s="48">
        <f t="shared" si="31"/>
        <v>-365963</v>
      </c>
      <c r="I71" s="48">
        <f t="shared" si="31"/>
        <v>-453000.40021835669</v>
      </c>
      <c r="J71" s="48">
        <f t="shared" si="31"/>
        <v>479461.47226589115</v>
      </c>
      <c r="K71" s="48">
        <f t="shared" si="31"/>
        <v>-93162</v>
      </c>
      <c r="L71" s="48">
        <f t="shared" si="31"/>
        <v>-328604.70435163961</v>
      </c>
      <c r="M71" s="48">
        <f t="shared" si="31"/>
        <v>-421154.52513285837</v>
      </c>
      <c r="N71" s="48">
        <f t="shared" ref="N71:O71" si="32">SUM(N61:N69)</f>
        <v>-504431.20099933894</v>
      </c>
      <c r="O71" s="48">
        <f t="shared" si="32"/>
        <v>-163174.44034360378</v>
      </c>
      <c r="P71" s="48">
        <f t="shared" ref="P71:Q71" si="33">SUM(P61:P69)</f>
        <v>-327870.22801047389</v>
      </c>
      <c r="Q71" s="48">
        <f t="shared" si="33"/>
        <v>-436400.90248304809</v>
      </c>
      <c r="R71" s="48">
        <f t="shared" ref="R71:S71" si="34">SUM(R61:R69)</f>
        <v>-537426.91092803807</v>
      </c>
      <c r="S71" s="48">
        <f t="shared" si="34"/>
        <v>-91090.521044548499</v>
      </c>
      <c r="T71" s="48">
        <f t="shared" ref="T71" si="35">SUM(T61:T69)</f>
        <v>-143715.33411933715</v>
      </c>
      <c r="U71" s="48">
        <f>SUM(U61:U70)</f>
        <v>-238947.04298123345</v>
      </c>
      <c r="V71" s="48">
        <f>SUM(V61:V70)</f>
        <v>-336741.12962144002</v>
      </c>
    </row>
    <row r="72" spans="2:22" x14ac:dyDescent="0.2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</row>
    <row r="73" spans="2:22" ht="15" x14ac:dyDescent="0.2">
      <c r="B73" s="270" t="s">
        <v>186</v>
      </c>
      <c r="C73" s="60">
        <f t="shared" ref="C73:P73" si="36">C38+C57+C71</f>
        <v>-274468</v>
      </c>
      <c r="D73" s="60">
        <f t="shared" si="36"/>
        <v>-239461</v>
      </c>
      <c r="E73" s="60">
        <f t="shared" si="36"/>
        <v>-316403</v>
      </c>
      <c r="F73" s="60">
        <f t="shared" si="36"/>
        <v>-376231</v>
      </c>
      <c r="G73" s="60">
        <f t="shared" si="36"/>
        <v>6273.1342629662831</v>
      </c>
      <c r="H73" s="60">
        <f t="shared" si="36"/>
        <v>-99623</v>
      </c>
      <c r="I73" s="60">
        <f t="shared" si="36"/>
        <v>-71717.157564981957</v>
      </c>
      <c r="J73" s="60">
        <f t="shared" si="36"/>
        <v>114314.43463017093</v>
      </c>
      <c r="K73" s="60">
        <f t="shared" si="36"/>
        <v>41913.048493120616</v>
      </c>
      <c r="L73" s="60">
        <f t="shared" si="36"/>
        <v>-139880.18026665083</v>
      </c>
      <c r="M73" s="60">
        <f t="shared" si="36"/>
        <v>-42620.241761542158</v>
      </c>
      <c r="N73" s="60">
        <f t="shared" si="36"/>
        <v>-57172.35356515192</v>
      </c>
      <c r="O73" s="60">
        <f t="shared" si="36"/>
        <v>-5741.2141190385446</v>
      </c>
      <c r="P73" s="60">
        <f t="shared" si="36"/>
        <v>-115431.76147562871</v>
      </c>
      <c r="Q73" s="60">
        <f t="shared" ref="Q73:R73" si="37">Q38+Q57+Q71</f>
        <v>-122553.5455021619</v>
      </c>
      <c r="R73" s="60">
        <f t="shared" si="37"/>
        <v>-64417.732106045645</v>
      </c>
      <c r="S73" s="60">
        <f t="shared" ref="S73:T73" si="38">S38+S57+S71</f>
        <v>31513.738672678723</v>
      </c>
      <c r="T73" s="60">
        <f t="shared" si="38"/>
        <v>36202.428332250885</v>
      </c>
      <c r="U73" s="60">
        <f t="shared" ref="U73:V73" si="39">U38+U57+U71</f>
        <v>70365.406405919231</v>
      </c>
      <c r="V73" s="60">
        <f t="shared" si="39"/>
        <v>66643.605616102112</v>
      </c>
    </row>
    <row r="74" spans="2:22" x14ac:dyDescent="0.2"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</row>
    <row r="75" spans="2:22" x14ac:dyDescent="0.2">
      <c r="B75" s="46" t="s">
        <v>187</v>
      </c>
      <c r="C75" s="57">
        <f>-8408*('2025 IR Data Book'!$A$5)</f>
        <v>-8408</v>
      </c>
      <c r="D75" s="57">
        <f>-10649*('2025 IR Data Book'!$A$5)</f>
        <v>-10649</v>
      </c>
      <c r="E75" s="57">
        <f>-7038*('2025 IR Data Book'!$A$5)</f>
        <v>-7038</v>
      </c>
      <c r="F75" s="57">
        <f>27490*('2025 IR Data Book'!$A$5)</f>
        <v>27490</v>
      </c>
      <c r="G75" s="57">
        <f>-16761*('2025 IR Data Book'!$A$5)</f>
        <v>-16761</v>
      </c>
      <c r="H75" s="57">
        <f>-14043*('2025 IR Data Book'!$A$5)</f>
        <v>-14043</v>
      </c>
      <c r="I75" s="57">
        <f>-19654.6841143637*(('2025 IR Data Book'!$A$5))</f>
        <v>-19654.684114363699</v>
      </c>
      <c r="J75" s="57">
        <f>-45400*(('2025 IR Data Book'!$A$5))</f>
        <v>-45400</v>
      </c>
      <c r="K75" s="57">
        <f>1394*(('2025 IR Data Book'!$A$5))</f>
        <v>1394</v>
      </c>
      <c r="L75" s="57">
        <f>-974.252448109353*((('2025 IR Data Book'!$A$5)))</f>
        <v>-974.25244810935305</v>
      </c>
      <c r="M75" s="57">
        <f>2822.32992289083*((('2025 IR Data Book'!$A$5)))</f>
        <v>2822.3299228908299</v>
      </c>
      <c r="N75" s="57">
        <f>'[7]C.F Final as Financials'!$C$71*((('2025 IR Data Book'!$A$5)))</f>
        <v>-6087.1956305906024</v>
      </c>
      <c r="O75" s="57">
        <f>'[8]C.F Final as Financials'!$C$72*((('2025 IR Data Book'!$A$5)))</f>
        <v>-129.54503590490458</v>
      </c>
      <c r="P75" s="57">
        <f>'[9]C.F Final as Financials'!$C$74*((('2025 IR Data Book'!$A$5)))</f>
        <v>-6309.8489814806599</v>
      </c>
      <c r="Q75" s="57">
        <f>'[10]C.F Final as Financials'!$C$75*((('2025 IR Data Book'!$A$5)))</f>
        <v>-6257.8514539703419</v>
      </c>
      <c r="R75" s="57">
        <f>'[11]C.F Final as Financials'!$C$76*((('2025 IR Data Book'!$A$5)))</f>
        <v>2646.8224162854822</v>
      </c>
      <c r="S75" s="57">
        <f>'[12]C.F Final as Financials'!$C$76*((('2025 IR Data Book'!$A$5)))</f>
        <v>-2578.9601164333667</v>
      </c>
      <c r="T75" s="57">
        <f>'[13]C.F Final as Financials'!$C$76*((('2025 IR Data Book'!$A$5)))</f>
        <v>-10528.38019390929</v>
      </c>
      <c r="U75" s="57">
        <f>'[14]C.F Final as Financials'!$C$77*((('2025 IR Data Book'!$A$5)))</f>
        <v>-9604.6349851951018</v>
      </c>
      <c r="V75" s="57">
        <f>'[15]C.F Final as Financials'!$C$77*((('2025 IR Data Book'!$A$5)))</f>
        <v>-6451.8003998931281</v>
      </c>
    </row>
    <row r="76" spans="2:22" x14ac:dyDescent="0.2">
      <c r="B76" s="46" t="s">
        <v>188</v>
      </c>
      <c r="C76" s="58">
        <f>907428*('2025 IR Data Book'!$A$5)</f>
        <v>907428</v>
      </c>
      <c r="D76" s="58">
        <f>907428*('2025 IR Data Book'!$A$5)</f>
        <v>907428</v>
      </c>
      <c r="E76" s="58">
        <f>955649*('2025 IR Data Book'!$A$5)</f>
        <v>955649</v>
      </c>
      <c r="F76" s="58">
        <f>907428*('2025 IR Data Book'!$A$5)</f>
        <v>907428</v>
      </c>
      <c r="G76" s="58">
        <f>558687*('2025 IR Data Book'!$A$5)</f>
        <v>558687</v>
      </c>
      <c r="H76" s="58">
        <f>558687*('2025 IR Data Book'!$A$5)</f>
        <v>558687</v>
      </c>
      <c r="I76" s="58">
        <f>558686.612170299*(('2025 IR Data Book'!$A$5))</f>
        <v>558686.61217029905</v>
      </c>
      <c r="J76" s="58">
        <f>558686.612170299*(('2025 IR Data Book'!$A$5))</f>
        <v>558686.61217029905</v>
      </c>
      <c r="K76" s="58">
        <f>627600*(('2025 IR Data Book'!$A$5))</f>
        <v>627600</v>
      </c>
      <c r="L76" s="58">
        <f>627600.108306456*((('2025 IR Data Book'!$A$5)))</f>
        <v>627600.10830645601</v>
      </c>
      <c r="M76" s="58">
        <f>627600.108306456*((('2025 IR Data Book'!$A$5)))</f>
        <v>627600.10830645601</v>
      </c>
      <c r="N76" s="58">
        <f>'[7]C.F Final as Financials'!$C$72*((('2025 IR Data Book'!$A$5)))</f>
        <v>627600.10830645578</v>
      </c>
      <c r="O76" s="58">
        <f>'[8]C.F Final as Financials'!$C$73*((('2025 IR Data Book'!$A$5)))</f>
        <v>564340.55911071319</v>
      </c>
      <c r="P76" s="58">
        <f>'[9]C.F Final as Financials'!$C$75*((('2025 IR Data Book'!$A$5)))</f>
        <v>564340.55911071319</v>
      </c>
      <c r="Q76" s="58">
        <f>'[10]C.F Final as Financials'!$C$76*((('2025 IR Data Book'!$A$5)))</f>
        <v>564340.55911071319</v>
      </c>
      <c r="R76" s="58">
        <f>'[11]C.F Final as Financials'!$C$77*((('2025 IR Data Book'!$A$5)))</f>
        <v>564343.82255686424</v>
      </c>
      <c r="S76" s="58">
        <f>'[12]C.F Final as Financials'!$C$77*((('2025 IR Data Book'!$A$5)))</f>
        <v>502573</v>
      </c>
      <c r="T76" s="58">
        <f>'[13]C.F Final as Financials'!$C$77*((('2025 IR Data Book'!$A$5)))</f>
        <v>502573</v>
      </c>
      <c r="U76" s="58">
        <f>'[14]C.F Final as Financials'!$C$78*((('2025 IR Data Book'!$A$5)))</f>
        <v>502573</v>
      </c>
      <c r="V76" s="58">
        <f>'[15]C.F Final as Financials'!$C$78*((('2025 IR Data Book'!$A$5)))</f>
        <v>502573</v>
      </c>
    </row>
    <row r="77" spans="2:22" ht="15" x14ac:dyDescent="0.2">
      <c r="B77" s="270" t="s">
        <v>189</v>
      </c>
      <c r="C77" s="47">
        <f t="shared" ref="C77:H77" si="40">C73+C75+C76</f>
        <v>624552</v>
      </c>
      <c r="D77" s="47">
        <f t="shared" si="40"/>
        <v>657318</v>
      </c>
      <c r="E77" s="47">
        <f t="shared" si="40"/>
        <v>632208</v>
      </c>
      <c r="F77" s="47">
        <f t="shared" si="40"/>
        <v>558687</v>
      </c>
      <c r="G77" s="47">
        <f t="shared" si="40"/>
        <v>548199.13426296622</v>
      </c>
      <c r="H77" s="47">
        <f t="shared" si="40"/>
        <v>445021</v>
      </c>
      <c r="I77" s="47">
        <f t="shared" ref="I77:J77" si="41">I73+I75+I76</f>
        <v>467314.77049095341</v>
      </c>
      <c r="J77" s="47">
        <f t="shared" si="41"/>
        <v>627601.04680046998</v>
      </c>
      <c r="K77" s="47">
        <f t="shared" ref="K77:L77" si="42">K73+K75+K76</f>
        <v>670907.04849312059</v>
      </c>
      <c r="L77" s="47">
        <f t="shared" si="42"/>
        <v>486745.67559169582</v>
      </c>
      <c r="M77" s="47">
        <f t="shared" ref="M77:N77" si="43">M73+M75+M76</f>
        <v>587802.19646780472</v>
      </c>
      <c r="N77" s="47">
        <f t="shared" si="43"/>
        <v>564340.55911071319</v>
      </c>
      <c r="O77" s="47">
        <f t="shared" ref="O77:P77" si="44">O73+O75+O76</f>
        <v>558469.79995576979</v>
      </c>
      <c r="P77" s="47">
        <f t="shared" si="44"/>
        <v>442598.94865360379</v>
      </c>
      <c r="Q77" s="47">
        <f t="shared" ref="Q77:R77" si="45">Q73+Q75+Q76</f>
        <v>435529.16215458093</v>
      </c>
      <c r="R77" s="47">
        <f t="shared" si="45"/>
        <v>502572.91286710405</v>
      </c>
      <c r="S77" s="47">
        <f t="shared" ref="S77:T77" si="46">S73+S75+S76</f>
        <v>531507.77855624538</v>
      </c>
      <c r="T77" s="47">
        <f t="shared" si="46"/>
        <v>528247.04813834163</v>
      </c>
      <c r="U77" s="47">
        <f t="shared" ref="U77:V77" si="47">U73+U75+U76</f>
        <v>563333.77142072411</v>
      </c>
      <c r="V77" s="47">
        <f t="shared" si="47"/>
        <v>562764.80521620903</v>
      </c>
    </row>
    <row r="78" spans="2:22" x14ac:dyDescent="0.2">
      <c r="C78" s="61"/>
      <c r="D78" s="61"/>
      <c r="E78" s="61"/>
      <c r="F78" s="61"/>
      <c r="G78" s="61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</row>
    <row r="79" spans="2:22" x14ac:dyDescent="0.2">
      <c r="C79" s="61"/>
      <c r="D79" s="61"/>
      <c r="E79" s="61"/>
      <c r="F79" s="61"/>
      <c r="G79" s="61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</row>
    <row r="80" spans="2:22" x14ac:dyDescent="0.2">
      <c r="C80" s="122" t="s">
        <v>190</v>
      </c>
      <c r="D80" s="120" t="s">
        <v>191</v>
      </c>
      <c r="E80" s="122" t="s">
        <v>192</v>
      </c>
      <c r="F80" s="122" t="s">
        <v>193</v>
      </c>
      <c r="G80" s="122" t="s">
        <v>194</v>
      </c>
      <c r="H80" s="120" t="s">
        <v>195</v>
      </c>
      <c r="I80" s="120" t="s">
        <v>196</v>
      </c>
      <c r="J80" s="120" t="s">
        <v>197</v>
      </c>
      <c r="K80" s="120" t="s">
        <v>28</v>
      </c>
      <c r="L80" s="120" t="s">
        <v>198</v>
      </c>
      <c r="M80" s="120" t="s">
        <v>199</v>
      </c>
      <c r="N80" s="120" t="s">
        <v>200</v>
      </c>
      <c r="O80" s="120" t="s">
        <v>33</v>
      </c>
      <c r="P80" s="120" t="s">
        <v>201</v>
      </c>
      <c r="Q80" s="120" t="s">
        <v>202</v>
      </c>
      <c r="R80" s="120" t="s">
        <v>321</v>
      </c>
      <c r="S80" s="120" t="s">
        <v>323</v>
      </c>
      <c r="T80" s="120" t="s">
        <v>339</v>
      </c>
      <c r="U80" s="120" t="s">
        <v>345</v>
      </c>
      <c r="V80" s="120" t="s">
        <v>354</v>
      </c>
    </row>
    <row r="81" spans="2:22" x14ac:dyDescent="0.2">
      <c r="B81" s="273" t="s">
        <v>203</v>
      </c>
      <c r="C81" s="199">
        <f>'Group Profit &amp; Loss Stm'!C8</f>
        <v>1424933</v>
      </c>
      <c r="D81" s="199">
        <f>'Group Profit &amp; Loss Stm'!D8+'Group Profit &amp; Loss Stm'!C8</f>
        <v>2995856</v>
      </c>
      <c r="E81" s="199">
        <f>'Group Profit &amp; Loss Stm'!E8+'Group Profit &amp; Loss Stm'!D8+'Group Profit &amp; Loss Stm'!C8+1</f>
        <v>4457261</v>
      </c>
      <c r="F81" s="199">
        <f>'Group Profit &amp; Loss Stm'!G8</f>
        <v>6068805</v>
      </c>
      <c r="G81" s="199">
        <f>'Group Profit &amp; Loss Stm'!H8</f>
        <v>1448931.8290969201</v>
      </c>
      <c r="H81" s="199">
        <f>'Group Profit &amp; Loss Stm'!I8+'Group Profit &amp; Loss Stm'!H8</f>
        <v>2965520.5801713904</v>
      </c>
      <c r="I81" s="199">
        <f>'Group Profit &amp; Loss Stm'!I8+'Group Profit &amp; Loss Stm'!H8+'Group Profit &amp; Loss Stm'!J8</f>
        <v>4391771.0264622206</v>
      </c>
      <c r="J81" s="199">
        <f>'Group Profit &amp; Loss Stm'!L8</f>
        <v>5926005</v>
      </c>
      <c r="K81" s="199">
        <f>'Group Profit &amp; Loss Stm'!M8</f>
        <v>1431496</v>
      </c>
      <c r="L81" s="199">
        <f>'Group Profit &amp; Loss Stm'!N8+'Group Profit &amp; Loss Stm'!M8</f>
        <v>2820335.2535638697</v>
      </c>
      <c r="M81" s="199">
        <f>'Group Profit &amp; Loss Stm'!M8+'Group Profit &amp; Loss Stm'!N8+'Group Profit &amp; Loss Stm'!O8</f>
        <v>4170013.0538151297</v>
      </c>
      <c r="N81" s="199">
        <f>'Group Profit &amp; Loss Stm'!Q8</f>
        <v>5694022.317213106</v>
      </c>
      <c r="O81" s="199">
        <f>'Group Profit &amp; Loss Stm'!R8</f>
        <v>1540700.6575151267</v>
      </c>
      <c r="P81" s="199">
        <f>'Group Profit &amp; Loss Stm'!R8+'Group Profit &amp; Loss Stm'!S8</f>
        <v>3036955.3743196549</v>
      </c>
      <c r="Q81" s="199">
        <f>'Group Profit &amp; Loss Stm'!R8+'Group Profit &amp; Loss Stm'!S8+'Group Profit &amp; Loss Stm'!T8</f>
        <v>4629311.4675569488</v>
      </c>
      <c r="R81" s="199">
        <f>'Group Profit &amp; Loss Stm'!V8</f>
        <v>6324443.7130477717</v>
      </c>
      <c r="S81" s="199">
        <f>'Group Profit &amp; Loss Stm'!W8</f>
        <v>1563017.1910417411</v>
      </c>
      <c r="T81" s="199">
        <f>'Group Profit &amp; Loss Stm'!W8+'Group Profit &amp; Loss Stm'!X8</f>
        <v>3060706.7161882911</v>
      </c>
      <c r="U81" s="199">
        <f>'Group Profit &amp; Loss Stm'!W8+'Group Profit &amp; Loss Stm'!X8+'Group Profit &amp; Loss Stm'!Y8</f>
        <v>4659780.8602152271</v>
      </c>
      <c r="V81" s="199">
        <f>'Group Profit &amp; Loss Stm'!AA8</f>
        <v>6359945.6111120367</v>
      </c>
    </row>
    <row r="82" spans="2:22" x14ac:dyDescent="0.2">
      <c r="B82" s="273" t="s">
        <v>204</v>
      </c>
      <c r="C82" s="197">
        <f t="shared" ref="C82:P82" si="48">-C41</f>
        <v>34074</v>
      </c>
      <c r="D82" s="197">
        <f t="shared" si="48"/>
        <v>63319</v>
      </c>
      <c r="E82" s="197">
        <f t="shared" si="48"/>
        <v>99376</v>
      </c>
      <c r="F82" s="197">
        <f t="shared" si="48"/>
        <v>128597</v>
      </c>
      <c r="G82" s="197">
        <f t="shared" si="48"/>
        <v>15766</v>
      </c>
      <c r="H82" s="197">
        <f t="shared" si="48"/>
        <v>39025</v>
      </c>
      <c r="I82" s="197">
        <f t="shared" si="48"/>
        <v>52609.428651262198</v>
      </c>
      <c r="J82" s="197">
        <f t="shared" si="48"/>
        <v>79141</v>
      </c>
      <c r="K82" s="197">
        <f t="shared" si="48"/>
        <v>20327</v>
      </c>
      <c r="L82" s="197">
        <f t="shared" si="48"/>
        <v>70419.057903088993</v>
      </c>
      <c r="M82" s="197">
        <f t="shared" si="48"/>
        <v>91317.567627102806</v>
      </c>
      <c r="N82" s="197">
        <f t="shared" si="48"/>
        <v>128012.96454729525</v>
      </c>
      <c r="O82" s="197">
        <f t="shared" si="48"/>
        <v>26779.131840469348</v>
      </c>
      <c r="P82" s="197">
        <f t="shared" si="48"/>
        <v>56291.152330022647</v>
      </c>
      <c r="Q82" s="197">
        <f t="shared" ref="Q82:R82" si="49">-Q41</f>
        <v>79276.422487130578</v>
      </c>
      <c r="R82" s="197">
        <f t="shared" si="49"/>
        <v>124324.80944051246</v>
      </c>
      <c r="S82" s="197">
        <f>-S41</f>
        <v>44839.145321164448</v>
      </c>
      <c r="T82" s="197">
        <f>-T41</f>
        <v>78652.096171444369</v>
      </c>
      <c r="U82" s="197">
        <f>-U41</f>
        <v>110577.65137370581</v>
      </c>
      <c r="V82" s="197">
        <f>-V41</f>
        <v>148638.202267474</v>
      </c>
    </row>
    <row r="83" spans="2:22" x14ac:dyDescent="0.2">
      <c r="B83" s="273" t="s">
        <v>205</v>
      </c>
      <c r="C83" s="198">
        <f t="shared" ref="C83:H83" si="50">C82/C81</f>
        <v>2.3912703263942937E-2</v>
      </c>
      <c r="D83" s="198">
        <f t="shared" si="50"/>
        <v>2.1135528543427987E-2</v>
      </c>
      <c r="E83" s="198">
        <f t="shared" si="50"/>
        <v>2.2295306467357421E-2</v>
      </c>
      <c r="F83" s="198">
        <f t="shared" si="50"/>
        <v>2.1189838856249296E-2</v>
      </c>
      <c r="G83" s="198">
        <f t="shared" si="50"/>
        <v>1.088111923790543E-2</v>
      </c>
      <c r="H83" s="198">
        <f t="shared" si="50"/>
        <v>1.3159578207258495E-2</v>
      </c>
      <c r="I83" s="198">
        <f t="shared" ref="I83:J83" si="51">I82/I81</f>
        <v>1.1979091882128833E-2</v>
      </c>
      <c r="J83" s="198">
        <f t="shared" si="51"/>
        <v>1.3354865546012871E-2</v>
      </c>
      <c r="K83" s="198">
        <f t="shared" ref="K83:L83" si="52">K82/K81</f>
        <v>1.4199830107803305E-2</v>
      </c>
      <c r="L83" s="198">
        <f t="shared" si="52"/>
        <v>2.4968328787900347E-2</v>
      </c>
      <c r="M83" s="198">
        <f t="shared" ref="M83:N83" si="53">M82/M81</f>
        <v>2.1898628720971675E-2</v>
      </c>
      <c r="N83" s="198">
        <f t="shared" si="53"/>
        <v>2.248199206390715E-2</v>
      </c>
      <c r="O83" s="198">
        <f t="shared" ref="O83:P83" si="54">O82/O81</f>
        <v>1.7381138711045449E-2</v>
      </c>
      <c r="P83" s="198">
        <f t="shared" si="54"/>
        <v>1.853539001791658E-2</v>
      </c>
      <c r="Q83" s="198">
        <f t="shared" ref="Q83:R83" si="55">Q82/Q81</f>
        <v>1.712488413076417E-2</v>
      </c>
      <c r="R83" s="198">
        <f t="shared" si="55"/>
        <v>1.9657825269916093E-2</v>
      </c>
      <c r="S83" s="198">
        <f t="shared" ref="S83:T83" si="56">S82/S81</f>
        <v>2.868755735903291E-2</v>
      </c>
      <c r="T83" s="198">
        <f t="shared" si="56"/>
        <v>2.5697364518935433E-2</v>
      </c>
      <c r="U83" s="198">
        <f>U82/U81</f>
        <v>2.3730225667435878E-2</v>
      </c>
      <c r="V83" s="198">
        <f>V82/V81</f>
        <v>2.3370986381986467E-2</v>
      </c>
    </row>
    <row r="84" spans="2:22" ht="9.75" customHeight="1" x14ac:dyDescent="0.2">
      <c r="B84" s="273"/>
    </row>
  </sheetData>
  <pageMargins left="0.7" right="0.7" top="0.75" bottom="0.75" header="0.3" footer="0.3"/>
  <pageSetup orientation="portrait" horizontalDpi="1200" verticalDpi="1200" r:id="rId1"/>
  <ignoredErrors>
    <ignoredError sqref="E76 C50:H50 C20:F20 F56 C54:F54 C51:F52 C49:I49 K18:M18 J48 J50 D68:F68 H68 L44:M44 L46:M46 C17:F1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3515-43FA-4F38-9C20-53D5790F179B}">
  <dimension ref="A1:AE27"/>
  <sheetViews>
    <sheetView showGridLines="0" zoomScaleNormal="100" workbookViewId="0">
      <pane xSplit="2" ySplit="5" topLeftCell="R6" activePane="bottomRight" state="frozen"/>
      <selection pane="topRight" activeCell="B7" sqref="B7"/>
      <selection pane="bottomLeft" activeCell="B7" sqref="B7"/>
      <selection pane="bottomRight" activeCell="AJ31" sqref="AJ31"/>
    </sheetView>
  </sheetViews>
  <sheetFormatPr defaultColWidth="9.140625" defaultRowHeight="12.75" x14ac:dyDescent="0.2"/>
  <cols>
    <col min="1" max="1" width="6.28515625" style="20" customWidth="1"/>
    <col min="2" max="2" width="35.85546875" style="20" customWidth="1"/>
    <col min="3" max="3" width="14.7109375" style="20" customWidth="1"/>
    <col min="4" max="4" width="14.140625" style="20" customWidth="1"/>
    <col min="5" max="5" width="14" style="20" customWidth="1"/>
    <col min="6" max="7" width="14.140625" style="20" customWidth="1"/>
    <col min="8" max="8" width="13.85546875" style="20" customWidth="1"/>
    <col min="9" max="12" width="12.7109375" style="20" customWidth="1"/>
    <col min="13" max="13" width="12.7109375" style="20" bestFit="1" customWidth="1"/>
    <col min="14" max="27" width="12.7109375" style="20" customWidth="1"/>
    <col min="28" max="28" width="13.140625" style="20" customWidth="1"/>
    <col min="29" max="29" width="8.140625" style="20" customWidth="1"/>
    <col min="30" max="30" width="13" style="20" customWidth="1"/>
    <col min="31" max="31" width="10" style="20" customWidth="1"/>
    <col min="32" max="32" width="10.140625" style="20" customWidth="1"/>
    <col min="33" max="16384" width="9.140625" style="20"/>
  </cols>
  <sheetData>
    <row r="1" spans="1:31" x14ac:dyDescent="0.2">
      <c r="A1" s="154">
        <f>'2025 IR Data Book'!$A$5</f>
        <v>1</v>
      </c>
    </row>
    <row r="2" spans="1:31" x14ac:dyDescent="0.2">
      <c r="A2" s="154"/>
    </row>
    <row r="3" spans="1:31" ht="15" x14ac:dyDescent="0.25">
      <c r="B3" s="62"/>
    </row>
    <row r="4" spans="1:31" ht="14.25" customHeight="1" x14ac:dyDescent="0.2">
      <c r="B4" s="64" t="s">
        <v>325</v>
      </c>
      <c r="C4" s="64"/>
      <c r="D4" s="65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167" t="s">
        <v>17</v>
      </c>
      <c r="AC4" s="167"/>
      <c r="AD4" s="167" t="s">
        <v>17</v>
      </c>
      <c r="AE4" s="167"/>
    </row>
    <row r="5" spans="1:31" ht="24.75" customHeight="1" x14ac:dyDescent="0.2">
      <c r="B5" s="66"/>
      <c r="C5" s="194" t="s">
        <v>18</v>
      </c>
      <c r="D5" s="194" t="s">
        <v>19</v>
      </c>
      <c r="E5" s="194" t="s">
        <v>20</v>
      </c>
      <c r="F5" s="194" t="s">
        <v>21</v>
      </c>
      <c r="G5" s="194">
        <v>2021</v>
      </c>
      <c r="H5" s="194" t="s">
        <v>23</v>
      </c>
      <c r="I5" s="194" t="s">
        <v>24</v>
      </c>
      <c r="J5" s="194" t="s">
        <v>25</v>
      </c>
      <c r="K5" s="194" t="s">
        <v>26</v>
      </c>
      <c r="L5" s="194">
        <v>2022</v>
      </c>
      <c r="M5" s="194" t="s">
        <v>28</v>
      </c>
      <c r="N5" s="194" t="s">
        <v>29</v>
      </c>
      <c r="O5" s="194" t="s">
        <v>30</v>
      </c>
      <c r="P5" s="194" t="s">
        <v>31</v>
      </c>
      <c r="Q5" s="194">
        <v>2023</v>
      </c>
      <c r="R5" s="194" t="s">
        <v>33</v>
      </c>
      <c r="S5" s="194" t="s">
        <v>34</v>
      </c>
      <c r="T5" s="194" t="s">
        <v>35</v>
      </c>
      <c r="U5" s="194" t="s">
        <v>318</v>
      </c>
      <c r="V5" s="194">
        <v>2024</v>
      </c>
      <c r="W5" s="194" t="s">
        <v>323</v>
      </c>
      <c r="X5" s="194" t="s">
        <v>337</v>
      </c>
      <c r="Y5" s="194" t="s">
        <v>343</v>
      </c>
      <c r="Z5" s="194" t="s">
        <v>349</v>
      </c>
      <c r="AA5" s="194">
        <v>2025</v>
      </c>
      <c r="AB5" s="67" t="s">
        <v>350</v>
      </c>
      <c r="AC5" s="194" t="s">
        <v>36</v>
      </c>
      <c r="AD5" s="256" t="s">
        <v>351</v>
      </c>
      <c r="AE5" s="194" t="s">
        <v>36</v>
      </c>
    </row>
    <row r="6" spans="1:31" x14ac:dyDescent="0.2">
      <c r="B6" s="68"/>
      <c r="C6" s="68"/>
      <c r="D6" s="69"/>
      <c r="E6" s="68"/>
      <c r="F6" s="68"/>
      <c r="G6" s="68"/>
      <c r="H6" s="6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</row>
    <row r="7" spans="1:31" ht="15" x14ac:dyDescent="0.25">
      <c r="B7" s="172" t="s">
        <v>203</v>
      </c>
      <c r="C7" s="176">
        <f>1002142.34808517*('2025 IR Data Book'!$A$5)</f>
        <v>1002142.34808517</v>
      </c>
      <c r="D7" s="176">
        <f>1100781.67756688*('2025 IR Data Book'!$A$5)</f>
        <v>1100781.6775668799</v>
      </c>
      <c r="E7" s="176">
        <f>1069651.75737739*(('2025 IR Data Book'!$A$5))</f>
        <v>1069651.7573773901</v>
      </c>
      <c r="F7" s="176">
        <f>1097153.77672902*(('2025 IR Data Book'!$A$5))</f>
        <v>1097153.7767290201</v>
      </c>
      <c r="G7" s="176">
        <f>C7+D7+E7+F7</f>
        <v>4269729.5597584601</v>
      </c>
      <c r="H7" s="176">
        <f>935616.886*(('2025 IR Data Book'!$A$5))</f>
        <v>935616.88600000006</v>
      </c>
      <c r="I7" s="176">
        <f>960926.278826837*((('2025 IR Data Book'!$A$5)))</f>
        <v>960926.27882683696</v>
      </c>
      <c r="J7" s="176">
        <f>((913035.345530228-24524.9339228929-24763.2105341343))*(('2025 IR Data Book'!$A$5))</f>
        <v>863747.20107320079</v>
      </c>
      <c r="K7" s="176">
        <f>(L7-H7-I7-J7)</f>
        <v>985277.36157301778</v>
      </c>
      <c r="L7" s="176">
        <f>'[17]Summary Per Product-22 Vs 21'!$C$5*3.6726*(('2025 IR Data Book'!$A$5))</f>
        <v>3745567.7274730555</v>
      </c>
      <c r="M7" s="176">
        <f>928233.120686088*(('2025 IR Data Book'!$A$5))</f>
        <v>928233.12068608799</v>
      </c>
      <c r="N7" s="176">
        <f>912426.259611566*((('2025 IR Data Book'!$A$5)))</f>
        <v>912426.25961156597</v>
      </c>
      <c r="O7" s="176">
        <f>864547.811795426*(((('2025 IR Data Book'!$A$5))))</f>
        <v>864547.81179542595</v>
      </c>
      <c r="P7" s="176">
        <f>'[18]Summary Per Product-23 Vs 22'!$C$5*3.6726*(((('2025 IR Data Book'!$A$5))))</f>
        <v>1017564.2383886555</v>
      </c>
      <c r="Q7" s="176">
        <f>SUM(M7:P7)</f>
        <v>3722771.4304817356</v>
      </c>
      <c r="R7" s="176">
        <f>'[19]Summary Per Product-24 Vs 23'!$C$5*3.6726*(((('2025 IR Data Book'!$A$5))))</f>
        <v>1026009.5879454871</v>
      </c>
      <c r="S7" s="176">
        <f>'[20]Summary Per Product-24 Vs 23'!$C$5*3.6726*(((('2025 IR Data Book'!$A$5))))</f>
        <v>965373.82602591906</v>
      </c>
      <c r="T7" s="176">
        <f>'[21]Summary Per Product-24 Vs 23'!$C$5*3.6726*(((('2025 IR Data Book'!$A$5))))</f>
        <v>1010952.3755746039</v>
      </c>
      <c r="U7" s="176">
        <f>'[22]Summary Per Product-24 Vs 23'!$C$5*3.6726*(((('2025 IR Data Book'!$A$5))))</f>
        <v>1095747.1823049737</v>
      </c>
      <c r="V7" s="176">
        <f>'[23]Summary Per Product-24 Vs 23'!$C$5*3.6726*(((('2025 IR Data Book'!$A$5))))</f>
        <v>4098082.9718509843</v>
      </c>
      <c r="W7" s="176">
        <f>'[24]Summary Per Product-25 Vs 24'!$C$5*3.6726*(((('2025 IR Data Book'!$A$5))))</f>
        <v>990868.07025036868</v>
      </c>
      <c r="X7" s="176">
        <f>'[25]Summary Per Product-25 Vs 24'!$C$5*3.6726*(((('2025 IR Data Book'!$A$5))))</f>
        <v>916472.27476410824</v>
      </c>
      <c r="Y7" s="176">
        <f>'[26]Summary Per Product-25 Vs 24'!$C$5*3.6726*(((('2025 IR Data Book'!$A$5))))</f>
        <v>984343.90009267384</v>
      </c>
      <c r="Z7" s="176">
        <f>'[27]Summary Per Product-25 Vs 24'!$C$5*3.6726*(((('2025 IR Data Book'!$A$5))))</f>
        <v>1095814.3880715261</v>
      </c>
      <c r="AA7" s="176">
        <f>'[28]Summary Per Product-25 Vs 24'!$C$5*3.6726*(((('2025 IR Data Book'!$A$5))))</f>
        <v>3987498.6331786774</v>
      </c>
      <c r="AB7" s="177">
        <f>Z7-U7</f>
        <v>67.205766552360728</v>
      </c>
      <c r="AC7" s="178">
        <f>AB7/U7</f>
        <v>6.1333278002129228E-5</v>
      </c>
      <c r="AD7" s="177">
        <f>(AA7)-(V7)</f>
        <v>-110584.33867230685</v>
      </c>
      <c r="AE7" s="178">
        <f>AD7/(V7)</f>
        <v>-2.6984406960984281E-2</v>
      </c>
    </row>
    <row r="8" spans="1:31" ht="15" x14ac:dyDescent="0.25">
      <c r="B8" s="173" t="s">
        <v>206</v>
      </c>
      <c r="C8" s="179">
        <f>717028.001907232*('2025 IR Data Book'!$A$5)</f>
        <v>717028.00190723198</v>
      </c>
      <c r="D8" s="179">
        <f>775480.325927456*('2025 IR Data Book'!$A$5)</f>
        <v>775480.32592745603</v>
      </c>
      <c r="E8" s="179">
        <f>747513.363608859*(('2025 IR Data Book'!$A$5))</f>
        <v>747513.36360885901</v>
      </c>
      <c r="F8" s="179">
        <f>827660.140224345*(('2025 IR Data Book'!$A$5))</f>
        <v>827660.14022434503</v>
      </c>
      <c r="G8" s="179">
        <f>C8+D8+E8+F8</f>
        <v>3067681.8316678922</v>
      </c>
      <c r="H8" s="179">
        <f>665068.356508206*(('2025 IR Data Book'!$A$5))</f>
        <v>665068.35650820599</v>
      </c>
      <c r="I8" s="179">
        <f>678187.381940867*((('2025 IR Data Book'!$A$5)))</f>
        <v>678187.38194086705</v>
      </c>
      <c r="J8" s="179">
        <f>(643262.5889205-11183.4452050221-9074.07272047409)*(('2025 IR Data Book'!$A$5))</f>
        <v>623005.0709950038</v>
      </c>
      <c r="K8" s="179">
        <f>(L8-H8-I8-J8)</f>
        <v>695689.14564022364</v>
      </c>
      <c r="L8" s="179">
        <f>'[17]Summary Per Product-22 Vs 21'!$C$9*3.6726*(('2025 IR Data Book'!$A$5))</f>
        <v>2661949.9550843006</v>
      </c>
      <c r="M8" s="179">
        <f>656801.046732577*(('2025 IR Data Book'!$A$5))</f>
        <v>656801.04673257703</v>
      </c>
      <c r="N8" s="179">
        <f>649510.965100682*((('2025 IR Data Book'!$A$5)))</f>
        <v>649510.96510068199</v>
      </c>
      <c r="O8" s="179">
        <f>609873.435747044*(((('2025 IR Data Book'!$A$5))))</f>
        <v>609873.43574704404</v>
      </c>
      <c r="P8" s="179">
        <f>'[18]Summary Per Product-23 Vs 22'!$C$9*3.6726*(((('2025 IR Data Book'!$A$5))))</f>
        <v>713518.55014883482</v>
      </c>
      <c r="Q8" s="179">
        <f>SUM(M8:P8)</f>
        <v>2629703.997729138</v>
      </c>
      <c r="R8" s="179">
        <f>'[19]Summary Per Product-24 Vs 23'!$C$9*3.6726*(((('2025 IR Data Book'!$A$5))))</f>
        <v>712062.65872369579</v>
      </c>
      <c r="S8" s="179">
        <f>'[20]Summary Per Product-24 Vs 23'!$C$9*3.6726*(((('2025 IR Data Book'!$A$5))))</f>
        <v>695834.15876534162</v>
      </c>
      <c r="T8" s="179">
        <f>'[21]Summary Per Product-24 Vs 23'!$C$9*3.6726*(((('2025 IR Data Book'!$A$5))))</f>
        <v>723658.71216659097</v>
      </c>
      <c r="U8" s="179">
        <f>'[22]Summary Per Product-24 Vs 23'!$C$9*3.6726*(((('2025 IR Data Book'!$A$5))))</f>
        <v>787308.04581733362</v>
      </c>
      <c r="V8" s="179">
        <f>'[23]Summary Per Product-24 Vs 23'!$C$9*3.6726*(((('2025 IR Data Book'!$A$5))))</f>
        <v>2918863.5754729616</v>
      </c>
      <c r="W8" s="179">
        <f>'[24]Summary Per Product-25 Vs 24'!$C$9*3.6726*(((('2025 IR Data Book'!$A$5))))</f>
        <v>718860.10455013346</v>
      </c>
      <c r="X8" s="179">
        <f>'[25]Summary Per Product-25 Vs 24'!$C$9*3.6726*(((('2025 IR Data Book'!$A$5))))</f>
        <v>680051.49912423559</v>
      </c>
      <c r="Y8" s="179">
        <f>'[26]Summary Per Product-25 Vs 24'!$C$9*3.6726*(((('2025 IR Data Book'!$A$5))))</f>
        <v>710898.76513382723</v>
      </c>
      <c r="Z8" s="179">
        <f>'[27]Summary Per Product-25 Vs 24'!$C$9*3.6726*(((('2025 IR Data Book'!$A$5))))</f>
        <v>794774.03863580362</v>
      </c>
      <c r="AA8" s="179">
        <f>'[28]Summary Per Product-25 Vs 24'!$C$9*3.6726*(((('2025 IR Data Book'!$A$5))))</f>
        <v>2904584.4064523978</v>
      </c>
      <c r="AB8" s="180">
        <f>Z8-U8</f>
        <v>7465.9928184699966</v>
      </c>
      <c r="AC8" s="181">
        <f>AB8/U8</f>
        <v>9.482937279929958E-3</v>
      </c>
      <c r="AD8" s="180">
        <f>(AA8)-(V8)</f>
        <v>-14279.16902056383</v>
      </c>
      <c r="AE8" s="181">
        <f>AD8/(V8)</f>
        <v>-4.8920302889627473E-3</v>
      </c>
    </row>
    <row r="9" spans="1:31" ht="15" x14ac:dyDescent="0.25">
      <c r="B9" s="175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81"/>
      <c r="AD9" s="179"/>
      <c r="AE9" s="181"/>
    </row>
    <row r="10" spans="1:31" ht="15" x14ac:dyDescent="0.25">
      <c r="B10" s="172" t="s">
        <v>207</v>
      </c>
      <c r="C10" s="176">
        <f t="shared" ref="C10:I10" si="0">C7-C8</f>
        <v>285114.34617793805</v>
      </c>
      <c r="D10" s="176">
        <f t="shared" si="0"/>
        <v>325301.35163942387</v>
      </c>
      <c r="E10" s="176">
        <f t="shared" si="0"/>
        <v>322138.39376853104</v>
      </c>
      <c r="F10" s="176">
        <f t="shared" ref="F10:G10" si="1">F7-F8</f>
        <v>269493.63650467503</v>
      </c>
      <c r="G10" s="176">
        <f t="shared" si="1"/>
        <v>1202047.728090568</v>
      </c>
      <c r="H10" s="176">
        <f t="shared" si="0"/>
        <v>270548.52949179406</v>
      </c>
      <c r="I10" s="176">
        <f t="shared" si="0"/>
        <v>282738.89688596991</v>
      </c>
      <c r="J10" s="176">
        <f t="shared" ref="J10" si="2">J7-J8</f>
        <v>240742.13007819699</v>
      </c>
      <c r="K10" s="176">
        <f>(L10-H10-I10-J10)</f>
        <v>289588.21593279392</v>
      </c>
      <c r="L10" s="176">
        <f t="shared" ref="L10" si="3">L7-L8</f>
        <v>1083617.7723887549</v>
      </c>
      <c r="M10" s="176">
        <f t="shared" ref="M10:N10" si="4">M7-M8</f>
        <v>271432.07395351096</v>
      </c>
      <c r="N10" s="176">
        <f t="shared" si="4"/>
        <v>262915.29451088398</v>
      </c>
      <c r="O10" s="176">
        <f t="shared" ref="O10:Q10" si="5">O7-O8</f>
        <v>254674.37604838191</v>
      </c>
      <c r="P10" s="176">
        <f t="shared" si="5"/>
        <v>304045.68823982065</v>
      </c>
      <c r="Q10" s="176">
        <f t="shared" si="5"/>
        <v>1093067.4327525976</v>
      </c>
      <c r="R10" s="176">
        <f t="shared" ref="R10:S10" si="6">R7-R8</f>
        <v>313946.92922179133</v>
      </c>
      <c r="S10" s="176">
        <f t="shared" si="6"/>
        <v>269539.66726057744</v>
      </c>
      <c r="T10" s="176">
        <f t="shared" ref="T10:U10" si="7">T7-T8</f>
        <v>287293.66340801294</v>
      </c>
      <c r="U10" s="176">
        <f t="shared" si="7"/>
        <v>308439.13648764009</v>
      </c>
      <c r="V10" s="176">
        <f t="shared" ref="V10:W10" si="8">V7-V8</f>
        <v>1179219.3963780226</v>
      </c>
      <c r="W10" s="176">
        <f t="shared" si="8"/>
        <v>272007.96570023522</v>
      </c>
      <c r="X10" s="176">
        <f t="shared" ref="X10:Y10" si="9">X7-X8</f>
        <v>236420.77563987265</v>
      </c>
      <c r="Y10" s="176">
        <f t="shared" si="9"/>
        <v>273445.13495884661</v>
      </c>
      <c r="Z10" s="176">
        <f t="shared" ref="Z10:AA10" si="10">Z7-Z8</f>
        <v>301040.34943572246</v>
      </c>
      <c r="AA10" s="176">
        <f t="shared" si="10"/>
        <v>1082914.2267262796</v>
      </c>
      <c r="AB10" s="177">
        <f>Z10-U10</f>
        <v>-7398.7870519176358</v>
      </c>
      <c r="AC10" s="178">
        <f>AB10/U10</f>
        <v>-2.3987834799991808E-2</v>
      </c>
      <c r="AD10" s="177">
        <f>(AA10)-(V10)</f>
        <v>-96305.169651743025</v>
      </c>
      <c r="AE10" s="178">
        <f>AD10/(V10)</f>
        <v>-8.166857664277298E-2</v>
      </c>
    </row>
    <row r="11" spans="1:31" ht="15" x14ac:dyDescent="0.25">
      <c r="B11" s="174" t="s">
        <v>208</v>
      </c>
      <c r="C11" s="182">
        <f t="shared" ref="C11:I11" si="11">C10/C7</f>
        <v>0.28450483778349095</v>
      </c>
      <c r="D11" s="182">
        <f t="shared" si="11"/>
        <v>0.29551850132394636</v>
      </c>
      <c r="E11" s="182">
        <f t="shared" si="11"/>
        <v>0.3011619356923802</v>
      </c>
      <c r="F11" s="182">
        <f t="shared" ref="F11:G11" si="12">F10/F7</f>
        <v>0.24562977608127559</v>
      </c>
      <c r="G11" s="182">
        <f t="shared" si="12"/>
        <v>0.28152783713040791</v>
      </c>
      <c r="H11" s="182">
        <f t="shared" si="11"/>
        <v>0.28916593270185381</v>
      </c>
      <c r="I11" s="182">
        <f t="shared" si="11"/>
        <v>0.29423578386383237</v>
      </c>
      <c r="J11" s="182">
        <f t="shared" ref="J11:K11" si="13">J10/J7</f>
        <v>0.27871827518407738</v>
      </c>
      <c r="K11" s="182">
        <f t="shared" si="13"/>
        <v>0.29391542648504554</v>
      </c>
      <c r="L11" s="182">
        <f t="shared" ref="L11" si="14">L10/L7</f>
        <v>0.28930668225289757</v>
      </c>
      <c r="M11" s="182">
        <f t="shared" ref="M11:N11" si="15">M10/M7</f>
        <v>0.29241800136681878</v>
      </c>
      <c r="N11" s="182">
        <f t="shared" si="15"/>
        <v>0.28814963591996035</v>
      </c>
      <c r="O11" s="182">
        <f t="shared" ref="O11:Q11" si="16">O10/O7</f>
        <v>0.29457523641115219</v>
      </c>
      <c r="P11" s="182">
        <f t="shared" si="16"/>
        <v>0.29879753706880113</v>
      </c>
      <c r="Q11" s="182">
        <f t="shared" si="16"/>
        <v>0.29361658462366358</v>
      </c>
      <c r="R11" s="182">
        <f t="shared" ref="R11:S11" si="17">R10/R7</f>
        <v>0.30598829963221713</v>
      </c>
      <c r="S11" s="182">
        <f t="shared" si="17"/>
        <v>0.27920755669352554</v>
      </c>
      <c r="T11" s="182">
        <f t="shared" ref="T11:U11" si="18">T10/T7</f>
        <v>0.28418120412914732</v>
      </c>
      <c r="U11" s="182">
        <f t="shared" si="18"/>
        <v>0.28148750137674899</v>
      </c>
      <c r="V11" s="182">
        <f t="shared" ref="V11:W11" si="19">V10/V7</f>
        <v>0.28774902911382577</v>
      </c>
      <c r="W11" s="182">
        <f t="shared" si="19"/>
        <v>0.27451481571255526</v>
      </c>
      <c r="X11" s="182">
        <f t="shared" ref="X11:Y11" si="20">X10/X7</f>
        <v>0.25796827918305026</v>
      </c>
      <c r="Y11" s="182">
        <f t="shared" si="20"/>
        <v>0.27779431043673086</v>
      </c>
      <c r="Z11" s="182">
        <f>Z10/Z7</f>
        <v>0.27471837631691409</v>
      </c>
      <c r="AA11" s="182">
        <f t="shared" ref="AA11" si="21">AA10/AA7</f>
        <v>0.2715773286329688</v>
      </c>
      <c r="AB11" s="182"/>
      <c r="AC11" s="182"/>
      <c r="AD11" s="182"/>
      <c r="AE11" s="182"/>
    </row>
    <row r="12" spans="1:31" ht="15" x14ac:dyDescent="0.25">
      <c r="B12" s="71" t="s">
        <v>209</v>
      </c>
      <c r="C12" s="183">
        <f>223548.286214403*('2025 IR Data Book'!$A$5)</f>
        <v>223548.28621440299</v>
      </c>
      <c r="D12" s="183">
        <f>225862.194456106*('2025 IR Data Book'!$A$5)</f>
        <v>225862.19445610599</v>
      </c>
      <c r="E12" s="183">
        <f>275607.908898911*(('2025 IR Data Book'!$A$5))</f>
        <v>275607.90889891097</v>
      </c>
      <c r="F12" s="183">
        <f>241119.056582815*(('2025 IR Data Book'!$A$5))</f>
        <v>241119.05658281501</v>
      </c>
      <c r="G12" s="183">
        <f>C12+D12+E12+F12</f>
        <v>966137.44615223492</v>
      </c>
      <c r="H12" s="183">
        <f>223985.320788361*(('2025 IR Data Book'!$A$5))</f>
        <v>223985.32078836099</v>
      </c>
      <c r="I12" s="183">
        <f>238043.467110935*((('2025 IR Data Book'!$A$5)))</f>
        <v>238043.46711093499</v>
      </c>
      <c r="J12" s="183">
        <f>(256404.184936925-14618.8447945164-14468.717003717)*(('2025 IR Data Book'!$A$5))</f>
        <v>227316.62313869162</v>
      </c>
      <c r="K12" s="183">
        <f>(L12-H12-I12-J12)</f>
        <v>255779.12670459799</v>
      </c>
      <c r="L12" s="183">
        <f>'[17]Summary Per Product-22 Vs 21'!$C$15*3.6726*(('2025 IR Data Book'!$A$5))</f>
        <v>945124.53774258564</v>
      </c>
      <c r="M12" s="183">
        <f>234187.867171094*(('2025 IR Data Book'!$A$5))</f>
        <v>234187.867171094</v>
      </c>
      <c r="N12" s="183">
        <f>232843.735612062*((('2025 IR Data Book'!$A$5)))</f>
        <v>232843.73561206201</v>
      </c>
      <c r="O12" s="183">
        <f>227029.018945017*(((('2025 IR Data Book'!$A$5))))</f>
        <v>227029.01894501699</v>
      </c>
      <c r="P12" s="183">
        <f>'[18]Summary Per Product-23 Vs 22'!$C$15*3.6726*(((('2025 IR Data Book'!$A$5))))</f>
        <v>233473.6461082196</v>
      </c>
      <c r="Q12" s="183">
        <f>SUM(M12:P12)</f>
        <v>927534.26783639262</v>
      </c>
      <c r="R12" s="183">
        <f>'[19]Summary Per Product-24 Vs 23'!$C$15*3.6726*(((('2025 IR Data Book'!$A$5))))</f>
        <v>239349.34420295534</v>
      </c>
      <c r="S12" s="183">
        <f>'[20]Summary Per Product-24 Vs 23'!$C$15*3.6726*(((('2025 IR Data Book'!$A$5))))</f>
        <v>242319.59274874223</v>
      </c>
      <c r="T12" s="183">
        <f>'[21]Summary Per Product-24 Vs 23'!$C$15*3.6726*(((('2025 IR Data Book'!$A$5))))</f>
        <v>246977.02678302865</v>
      </c>
      <c r="U12" s="183">
        <f>'[22]Summary Per Product-24 Vs 23'!$C$15*3.6726*(((('2025 IR Data Book'!$A$5))))</f>
        <v>242623.09814504121</v>
      </c>
      <c r="V12" s="183">
        <f>'[23]Summary Per Product-24 Vs 23'!$C$15*3.6726*(((('2025 IR Data Book'!$A$5))))</f>
        <v>971269.3739038636</v>
      </c>
      <c r="W12" s="183">
        <f>'[24]Summary Per Product-25 Vs 24'!$C$15*3.6726*(((('2025 IR Data Book'!$A$5))))</f>
        <v>241041.62272412892</v>
      </c>
      <c r="X12" s="183">
        <f>'[25]Summary Per Product-25 Vs 24'!$C$15*3.6726*(((('2025 IR Data Book'!$A$5))))</f>
        <v>239707.16687616162</v>
      </c>
      <c r="Y12" s="183">
        <f>'[26]Summary Per Product-25 Vs 24'!$C$15*3.6726*(((('2025 IR Data Book'!$A$5))))</f>
        <v>234564.86602578199</v>
      </c>
      <c r="Z12" s="183">
        <f>'[27]Summary Per Product-25 Vs 24'!$C$15*3.6726*(((('2025 IR Data Book'!$A$5))))</f>
        <v>251724.73591687105</v>
      </c>
      <c r="AA12" s="183">
        <f>'[28]Summary Per Product-25 Vs 24'!$C$15*3.6726*(((('2025 IR Data Book'!$A$5))))</f>
        <v>967038.39297525724</v>
      </c>
      <c r="AB12" s="184">
        <f t="shared" ref="AB12:AB13" si="22">Z12-U12</f>
        <v>9101.6377718298463</v>
      </c>
      <c r="AC12" s="181">
        <f t="shared" ref="AC12:AC13" si="23">AB12/U12</f>
        <v>3.7513484253625537E-2</v>
      </c>
      <c r="AD12" s="184">
        <f t="shared" ref="AD12:AD13" si="24">(AA12)-(V12)</f>
        <v>-4230.9809286063537</v>
      </c>
      <c r="AE12" s="181">
        <f t="shared" ref="AE12:AE13" si="25">AD12/(V12)</f>
        <v>-4.3561354267772235E-3</v>
      </c>
    </row>
    <row r="13" spans="1:31" ht="15" x14ac:dyDescent="0.25">
      <c r="B13" s="72" t="s">
        <v>210</v>
      </c>
      <c r="C13" s="185">
        <f>67793.5305039601*('2025 IR Data Book'!$A$5)</f>
        <v>67793.530503960093</v>
      </c>
      <c r="D13" s="185">
        <f>104626.763731849*('2025 IR Data Book'!$A$5)</f>
        <v>104626.763731849</v>
      </c>
      <c r="E13" s="185">
        <f>42423.4319606453*(('2025 IR Data Book'!$A$5))</f>
        <v>42423.431960645299</v>
      </c>
      <c r="F13" s="185">
        <f>37379.9776700221*(('2025 IR Data Book'!$A$5))</f>
        <v>37379.977670022097</v>
      </c>
      <c r="G13" s="185">
        <f>C13+D13+E13+F13</f>
        <v>252223.70386647648</v>
      </c>
      <c r="H13" s="185">
        <f>(51221.864021735)*(('2025 IR Data Book'!$A$5))</f>
        <v>51221.864021734997</v>
      </c>
      <c r="I13" s="185">
        <f>40621.4865499611*((('2025 IR Data Book'!$A$5)))</f>
        <v>40621.486549961097</v>
      </c>
      <c r="J13" s="185">
        <f>(20147.1087077667--1224.86420941922-512.846680396088)*(('2025 IR Data Book'!$A$5))</f>
        <v>20859.126236789834</v>
      </c>
      <c r="K13" s="185">
        <f>(L13-H13-I13-J13)</f>
        <v>29790.616801794084</v>
      </c>
      <c r="L13" s="185">
        <f>'[17]Summary Per Product-22 Vs 21'!$C$21*3.6726*(('2025 IR Data Book'!$A$5))</f>
        <v>142493.09361028002</v>
      </c>
      <c r="M13" s="185">
        <f>37804.83291688*(('2025 IR Data Book'!$A$5))</f>
        <v>37804.832916879997</v>
      </c>
      <c r="N13" s="185">
        <f>30286.0226548901*((('2025 IR Data Book'!$A$5)))</f>
        <v>30286.022654890101</v>
      </c>
      <c r="O13" s="185">
        <f>26387.314747738*(((('2025 IR Data Book'!$A$5))))</f>
        <v>26387.314747738001</v>
      </c>
      <c r="P13" s="185">
        <f>'[18]Summary Per Product-23 Vs 22'!$C$18*3.6726*(((('2025 IR Data Book'!$A$5))))</f>
        <v>73397.54654912214</v>
      </c>
      <c r="Q13" s="185">
        <f>SUM(M13:P13)</f>
        <v>167875.71686863023</v>
      </c>
      <c r="R13" s="185">
        <f>'[19]Summary Per Product-24 Vs 23'!$C$18*3.6726*(((('2025 IR Data Book'!$A$5))))</f>
        <v>78737.773161394885</v>
      </c>
      <c r="S13" s="185">
        <f>'[20]Summary Per Product-24 Vs 23'!$C$18*3.6726*(((('2025 IR Data Book'!$A$5))))</f>
        <v>30588.898608969641</v>
      </c>
      <c r="T13" s="185">
        <f>'[21]Summary Per Product-24 Vs 23'!$C$18*3.6726*(((('2025 IR Data Book'!$A$5))))</f>
        <v>43169.791456610197</v>
      </c>
      <c r="U13" s="185">
        <f>'[22]Summary Per Product-24 Vs 23'!$C$18*3.6726*(((('2025 IR Data Book'!$A$5))))</f>
        <v>58930.392687230807</v>
      </c>
      <c r="V13" s="185">
        <f>'[23]Summary Per Product-24 Vs 23'!$C$18*3.6726*(((('2025 IR Data Book'!$A$5))))</f>
        <v>211426.54389011004</v>
      </c>
      <c r="W13" s="185">
        <f>'[24]Summary Per Product-25 Vs 24'!$C$18*3.6726*(((('2025 IR Data Book'!$A$5))))</f>
        <v>28338.485979722307</v>
      </c>
      <c r="X13" s="185">
        <f>'[25]Summary Per Product-25 Vs 24'!$C$18*3.6726*(((('2025 IR Data Book'!$A$5))))</f>
        <v>-8262.9389153053653</v>
      </c>
      <c r="Y13" s="185">
        <f>'[26]Summary Per Product-25 Vs 24'!$C$18*3.6726*(((('2025 IR Data Book'!$A$5))))</f>
        <v>38333.846762699352</v>
      </c>
      <c r="Z13" s="185">
        <f>'[27]Summary Per Product-25 Vs 24'!$C$18*3.6726*(((('2025 IR Data Book'!$A$5))))</f>
        <v>42740.248863150628</v>
      </c>
      <c r="AA13" s="185">
        <f>'[28]Summary Per Product-25 Vs 24'!$C$18*3.6726*(((('2025 IR Data Book'!$A$5))))</f>
        <v>99822.419698555765</v>
      </c>
      <c r="AB13" s="185">
        <f t="shared" si="22"/>
        <v>-16190.14382408018</v>
      </c>
      <c r="AC13" s="186">
        <f t="shared" si="23"/>
        <v>-0.27473334362471169</v>
      </c>
      <c r="AD13" s="185">
        <f t="shared" si="24"/>
        <v>-111604.12419155428</v>
      </c>
      <c r="AE13" s="186">
        <f t="shared" si="25"/>
        <v>-0.52786240619607849</v>
      </c>
    </row>
    <row r="14" spans="1:31" ht="15" x14ac:dyDescent="0.25">
      <c r="B14" s="62" t="s">
        <v>211</v>
      </c>
      <c r="C14" s="182">
        <f t="shared" ref="C14:I14" si="26">C13/C7</f>
        <v>6.7648603647471509E-2</v>
      </c>
      <c r="D14" s="182">
        <f t="shared" si="26"/>
        <v>9.5047697344591953E-2</v>
      </c>
      <c r="E14" s="182">
        <f t="shared" si="26"/>
        <v>3.9660975329634918E-2</v>
      </c>
      <c r="F14" s="182">
        <f t="shared" ref="F14:G14" si="27">F13/F7</f>
        <v>3.4069953057505056E-2</v>
      </c>
      <c r="G14" s="182">
        <f t="shared" si="27"/>
        <v>5.9072524462356078E-2</v>
      </c>
      <c r="H14" s="182">
        <f t="shared" si="26"/>
        <v>5.4746622028939089E-2</v>
      </c>
      <c r="I14" s="182">
        <f t="shared" si="26"/>
        <v>4.2273260129335334E-2</v>
      </c>
      <c r="J14" s="182">
        <f t="shared" ref="J14:K14" si="28">J13/J7</f>
        <v>2.4149573174735029E-2</v>
      </c>
      <c r="K14" s="182">
        <f t="shared" si="28"/>
        <v>3.0235767067897192E-2</v>
      </c>
      <c r="L14" s="182">
        <f t="shared" ref="L14" si="29">L13/L7</f>
        <v>3.8043122959736969E-2</v>
      </c>
      <c r="M14" s="182">
        <f t="shared" ref="M14:N14" si="30">M13/M7</f>
        <v>4.0727735387137649E-2</v>
      </c>
      <c r="N14" s="182">
        <f t="shared" si="30"/>
        <v>3.3192844173274158E-2</v>
      </c>
      <c r="O14" s="182">
        <f t="shared" ref="O14:Q14" si="31">O13/O7</f>
        <v>3.0521521641398722E-2</v>
      </c>
      <c r="P14" s="182">
        <f t="shared" si="31"/>
        <v>7.2130627021002064E-2</v>
      </c>
      <c r="Q14" s="182">
        <f t="shared" si="31"/>
        <v>4.5094285266637148E-2</v>
      </c>
      <c r="R14" s="182">
        <f t="shared" ref="R14:S14" si="32">R13/R7</f>
        <v>7.6741751818383885E-2</v>
      </c>
      <c r="S14" s="182">
        <f t="shared" si="32"/>
        <v>3.1686065837202806E-2</v>
      </c>
      <c r="T14" s="182">
        <f t="shared" ref="T14:U14" si="33">T13/T7</f>
        <v>4.2702101997706271E-2</v>
      </c>
      <c r="U14" s="182">
        <f t="shared" si="33"/>
        <v>5.3781012298171726E-2</v>
      </c>
      <c r="V14" s="182">
        <f t="shared" ref="V14:W14" si="34">V13/V7</f>
        <v>5.1591572289375796E-2</v>
      </c>
      <c r="W14" s="182">
        <f t="shared" si="34"/>
        <v>2.8599656029446835E-2</v>
      </c>
      <c r="X14" s="182">
        <f t="shared" ref="X14:Y14" si="35">X13/X7</f>
        <v>-9.016027154157143E-3</v>
      </c>
      <c r="Y14" s="182">
        <f t="shared" si="35"/>
        <v>3.8943550886118464E-2</v>
      </c>
      <c r="Z14" s="182">
        <f t="shared" ref="Z14:AA14" si="36">Z13/Z7</f>
        <v>3.9003182772921287E-2</v>
      </c>
      <c r="AA14" s="182">
        <f t="shared" si="36"/>
        <v>2.5033844242093508E-2</v>
      </c>
      <c r="AB14" s="182"/>
      <c r="AC14" s="182"/>
      <c r="AD14" s="182"/>
      <c r="AE14" s="182"/>
    </row>
    <row r="15" spans="1:31" ht="15" x14ac:dyDescent="0.25">
      <c r="B15" s="72" t="s">
        <v>212</v>
      </c>
      <c r="C15" s="185">
        <f>126971.790482873*('2025 IR Data Book'!$A$5)</f>
        <v>126971.790482873</v>
      </c>
      <c r="D15" s="185">
        <f>164433.595675243*('2025 IR Data Book'!$A$5)</f>
        <v>164433.59567524301</v>
      </c>
      <c r="E15" s="185">
        <f>113372.50878968*(('2025 IR Data Book'!$A$5))</f>
        <v>113372.50878968</v>
      </c>
      <c r="F15" s="185">
        <f>97527.4515491813*(('2025 IR Data Book'!$A$5))</f>
        <v>97527.451549181307</v>
      </c>
      <c r="G15" s="185">
        <f>C15+D15+E15+F15</f>
        <v>502305.34649697732</v>
      </c>
      <c r="H15" s="185">
        <f>113734.680171326*(('2025 IR Data Book'!$A$5))</f>
        <v>113734.68017132601</v>
      </c>
      <c r="I15" s="185">
        <f>102064.863900749*((('2025 IR Data Book'!$A$5)))</f>
        <v>102064.863900749</v>
      </c>
      <c r="J15" s="185">
        <f>(89569.4117087153-1863.82273672026-3665.89453247584)*(('2025 IR Data Book'!$A$5))</f>
        <v>84039.694439519197</v>
      </c>
      <c r="K15" s="185">
        <f>(L15-H15-I15-J15)</f>
        <v>92605.047142430441</v>
      </c>
      <c r="L15" s="185">
        <f>'[17]Summary Per Product-22 Vs 21'!$C$31*3.6726*(('2025 IR Data Book'!$A$5))</f>
        <v>392444.28565402469</v>
      </c>
      <c r="M15" s="185">
        <f>97445.6676906999*(('2025 IR Data Book'!$A$5))</f>
        <v>97445.667690699906</v>
      </c>
      <c r="N15" s="185">
        <f>91549.3736928258*((('2025 IR Data Book'!$A$5)))</f>
        <v>91549.3736928258</v>
      </c>
      <c r="O15" s="185">
        <f>85837.3159672989*(((('2025 IR Data Book'!$A$5))))</f>
        <v>85837.315967298899</v>
      </c>
      <c r="P15" s="185">
        <f>'[18]Summary Per Product-23 Vs 22'!$C$22*3.6726*(((('2025 IR Data Book'!$A$5))))</f>
        <v>133617.83220798097</v>
      </c>
      <c r="Q15" s="185">
        <f>SUM(M15:P15)</f>
        <v>408450.18955880561</v>
      </c>
      <c r="R15" s="185">
        <f>'[19]Summary Per Product-24 Vs 23'!$C$22*3.6726*(((('2025 IR Data Book'!$A$5))))</f>
        <v>136923.42207457009</v>
      </c>
      <c r="S15" s="185">
        <f>'[20]Summary Per Product-24 Vs 23'!$C$22*3.6726*(((('2025 IR Data Book'!$A$5))))</f>
        <v>88634.636520908709</v>
      </c>
      <c r="T15" s="185">
        <f>'[21]Summary Per Product-24 Vs 23'!$C$22*3.6726*(((('2025 IR Data Book'!$A$5))))</f>
        <v>101610.70780267035</v>
      </c>
      <c r="U15" s="185">
        <f>'[22]Summary Per Product-24 Vs 23'!$C$22*3.6726*(((('2025 IR Data Book'!$A$5))))</f>
        <v>116789.34315659275</v>
      </c>
      <c r="V15" s="185">
        <f>'[23]Summary Per Product-24 Vs 23'!$C$22*3.6726*(((('2025 IR Data Book'!$A$5))))</f>
        <v>443957.79753064638</v>
      </c>
      <c r="W15" s="185">
        <f>'[24]Summary Per Product-25 Vs 24'!$C$22*3.6726*(((('2025 IR Data Book'!$A$5))))</f>
        <v>82818.534911738258</v>
      </c>
      <c r="X15" s="185">
        <f>'[25]Summary Per Product-25 Vs 24'!$C$22*3.6726*(((('2025 IR Data Book'!$A$5))))</f>
        <v>47660.259259219725</v>
      </c>
      <c r="Y15" s="185">
        <f>'[26]Summary Per Product-25 Vs 24'!$C$22*3.6726*(((('2025 IR Data Book'!$A$5))))</f>
        <v>104266.87407015554</v>
      </c>
      <c r="Z15" s="185">
        <f>'[27]Summary Per Product-25 Vs 24'!$C$22*3.6726*(((('2025 IR Data Book'!$A$5))))</f>
        <v>108899.72058091582</v>
      </c>
      <c r="AA15" s="185">
        <f>'[28]Summary Per Product-25 Vs 24'!$C$22*3.6726*(((('2025 IR Data Book'!$A$5))))</f>
        <v>342318.16583031818</v>
      </c>
      <c r="AB15" s="185">
        <f>Z15-U15</f>
        <v>-7889.6225756769272</v>
      </c>
      <c r="AC15" s="186">
        <f>AB15/U15</f>
        <v>-6.7554302151510634E-2</v>
      </c>
      <c r="AD15" s="185">
        <f>(AA15)-(V15)</f>
        <v>-101639.6317003282</v>
      </c>
      <c r="AE15" s="186">
        <f>AD15/(V15)</f>
        <v>-0.22893985028681027</v>
      </c>
    </row>
    <row r="16" spans="1:31" ht="15" x14ac:dyDescent="0.25">
      <c r="B16" s="62" t="s">
        <v>213</v>
      </c>
      <c r="C16" s="182">
        <f t="shared" ref="C16:I16" si="37">C15/C7</f>
        <v>0.12670035422161596</v>
      </c>
      <c r="D16" s="182">
        <f t="shared" si="37"/>
        <v>0.14937893592006354</v>
      </c>
      <c r="E16" s="182">
        <f t="shared" si="37"/>
        <v>0.10599011127476733</v>
      </c>
      <c r="F16" s="182">
        <f t="shared" ref="F16:G16" si="38">F15/F7</f>
        <v>8.8891323730337091E-2</v>
      </c>
      <c r="G16" s="182">
        <f t="shared" si="38"/>
        <v>0.11764336346524787</v>
      </c>
      <c r="H16" s="182">
        <f t="shared" si="37"/>
        <v>0.12156116661978031</v>
      </c>
      <c r="I16" s="182">
        <f t="shared" si="37"/>
        <v>0.1062150824154342</v>
      </c>
      <c r="J16" s="182">
        <f t="shared" ref="J16:K16" si="39">J15/J7</f>
        <v>9.7296633013803549E-2</v>
      </c>
      <c r="K16" s="182">
        <f t="shared" si="39"/>
        <v>9.3988810414342996E-2</v>
      </c>
      <c r="L16" s="182">
        <f t="shared" ref="L16" si="40">L15/L7</f>
        <v>0.10477564796800162</v>
      </c>
      <c r="M16" s="182">
        <f t="shared" ref="M16:N16" si="41">M15/M7</f>
        <v>0.1049797357141001</v>
      </c>
      <c r="N16" s="182">
        <f t="shared" si="41"/>
        <v>0.10033618906562355</v>
      </c>
      <c r="O16" s="182">
        <f t="shared" ref="O16:Q16" si="42">O15/O7</f>
        <v>9.9285794025709931E-2</v>
      </c>
      <c r="P16" s="182">
        <f t="shared" si="42"/>
        <v>0.13131144665576</v>
      </c>
      <c r="Q16" s="182">
        <f t="shared" si="42"/>
        <v>0.10971669821425248</v>
      </c>
      <c r="R16" s="182">
        <f t="shared" ref="R16:S16" si="43">R15/R7</f>
        <v>0.13345238064368359</v>
      </c>
      <c r="S16" s="182">
        <f t="shared" si="43"/>
        <v>9.1813797030093694E-2</v>
      </c>
      <c r="T16" s="182">
        <f t="shared" ref="T16:U16" si="44">T15/T7</f>
        <v>0.10050988578459691</v>
      </c>
      <c r="U16" s="182">
        <f t="shared" si="44"/>
        <v>0.10658420577538603</v>
      </c>
      <c r="V16" s="182">
        <f t="shared" ref="V16:W16" si="45">V15/V7</f>
        <v>0.1083330426885241</v>
      </c>
      <c r="W16" s="182">
        <f t="shared" si="45"/>
        <v>8.3581798019601125E-2</v>
      </c>
      <c r="X16" s="182">
        <f t="shared" ref="X16:Y16" si="46">X15/X7</f>
        <v>5.2004038279812717E-2</v>
      </c>
      <c r="Y16" s="182">
        <f t="shared" si="46"/>
        <v>0.10592525037269905</v>
      </c>
      <c r="Z16" s="182">
        <f t="shared" ref="Z16:AA16" si="47">Z15/Z7</f>
        <v>9.9377888962165831E-2</v>
      </c>
      <c r="AA16" s="182">
        <f t="shared" si="47"/>
        <v>8.5847845308836018E-2</v>
      </c>
      <c r="AB16" s="182"/>
      <c r="AC16" s="182"/>
      <c r="AD16" s="182"/>
      <c r="AE16" s="182"/>
    </row>
    <row r="18" spans="2:31" x14ac:dyDescent="0.2">
      <c r="B18" s="170" t="s">
        <v>214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</row>
    <row r="19" spans="2:31" x14ac:dyDescent="0.2">
      <c r="B19" s="70" t="s">
        <v>215</v>
      </c>
      <c r="C19" s="81">
        <v>25388838</v>
      </c>
      <c r="D19" s="81">
        <v>25800486</v>
      </c>
      <c r="E19" s="81">
        <v>27600108</v>
      </c>
      <c r="F19" s="81">
        <v>29436845</v>
      </c>
      <c r="G19" s="81">
        <f>C19+D19+E19+F19</f>
        <v>108226277</v>
      </c>
      <c r="H19" s="81">
        <f>'Historic Express Rev_Vol_ Data'!J27*1000000</f>
        <v>25008344</v>
      </c>
      <c r="I19" s="28">
        <v>24101160</v>
      </c>
      <c r="J19" s="28">
        <v>24481680</v>
      </c>
      <c r="K19" s="28">
        <v>26477337</v>
      </c>
      <c r="L19" s="28">
        <f>SUM(H19:K19)</f>
        <v>100068521</v>
      </c>
      <c r="M19" s="28">
        <v>24620104</v>
      </c>
      <c r="N19" s="28">
        <v>24232178</v>
      </c>
      <c r="O19" s="28">
        <v>24542273</v>
      </c>
      <c r="P19" s="28">
        <v>26596092</v>
      </c>
      <c r="Q19" s="28">
        <f>SUM(M19:P19)</f>
        <v>99990647</v>
      </c>
      <c r="R19" s="28">
        <v>26228288</v>
      </c>
      <c r="S19" s="28">
        <v>25108777</v>
      </c>
      <c r="T19" s="28">
        <v>28887967</v>
      </c>
      <c r="U19" s="28">
        <v>31031070</v>
      </c>
      <c r="V19" s="28">
        <v>111256102</v>
      </c>
      <c r="W19" s="28">
        <v>28344711</v>
      </c>
      <c r="X19" s="28">
        <v>27579842</v>
      </c>
      <c r="Y19" s="28">
        <v>30509791</v>
      </c>
      <c r="Z19" s="28">
        <v>33400622</v>
      </c>
      <c r="AA19" s="28">
        <v>119834966</v>
      </c>
      <c r="AB19" s="201"/>
      <c r="AC19" s="201"/>
      <c r="AD19" s="201"/>
      <c r="AE19" s="28"/>
    </row>
    <row r="20" spans="2:31" x14ac:dyDescent="0.2">
      <c r="B20" s="70" t="s">
        <v>216</v>
      </c>
      <c r="C20" s="81">
        <v>6203827</v>
      </c>
      <c r="D20" s="81">
        <v>7200104</v>
      </c>
      <c r="E20" s="81">
        <v>6300214</v>
      </c>
      <c r="F20" s="81">
        <v>6052494</v>
      </c>
      <c r="G20" s="81">
        <f>C20+D20+E20+F20</f>
        <v>25756639</v>
      </c>
      <c r="H20" s="81">
        <f>'Historic Express Rev_Vol_ Data'!J26*1000000</f>
        <v>5339769</v>
      </c>
      <c r="I20" s="28">
        <v>5930134</v>
      </c>
      <c r="J20" s="28">
        <v>5123776</v>
      </c>
      <c r="K20" s="28">
        <v>5811173</v>
      </c>
      <c r="L20" s="28">
        <f>SUM(H20:K20)</f>
        <v>22204852</v>
      </c>
      <c r="M20" s="28">
        <v>5393659</v>
      </c>
      <c r="N20" s="28">
        <v>5491225</v>
      </c>
      <c r="O20" s="28">
        <v>4852560</v>
      </c>
      <c r="P20" s="28">
        <v>7610172</v>
      </c>
      <c r="Q20" s="28">
        <f>SUM(M20:P20)</f>
        <v>23347616</v>
      </c>
      <c r="R20" s="28">
        <v>7767896</v>
      </c>
      <c r="S20" s="28">
        <v>6652191</v>
      </c>
      <c r="T20" s="28">
        <v>6495790</v>
      </c>
      <c r="U20" s="28">
        <v>7179254</v>
      </c>
      <c r="V20" s="28">
        <v>28095131</v>
      </c>
      <c r="W20" s="28">
        <v>6399280</v>
      </c>
      <c r="X20" s="28">
        <v>5281001</v>
      </c>
      <c r="Y20" s="28">
        <v>5573365</v>
      </c>
      <c r="Z20" s="28">
        <v>6325792</v>
      </c>
      <c r="AA20" s="28">
        <v>23579438</v>
      </c>
      <c r="AB20" s="201"/>
      <c r="AC20" s="201"/>
      <c r="AD20" s="201"/>
      <c r="AE20" s="28"/>
    </row>
    <row r="21" spans="2:31" ht="13.5" thickBot="1" x14ac:dyDescent="0.25">
      <c r="B21" s="82" t="s">
        <v>217</v>
      </c>
      <c r="C21" s="83">
        <f>SUM(C19:C20)</f>
        <v>31592665</v>
      </c>
      <c r="D21" s="83">
        <f t="shared" ref="D21:I21" si="48">SUM(D19:D20)</f>
        <v>33000590</v>
      </c>
      <c r="E21" s="83">
        <f t="shared" si="48"/>
        <v>33900322</v>
      </c>
      <c r="F21" s="83">
        <f t="shared" si="48"/>
        <v>35489339</v>
      </c>
      <c r="G21" s="83">
        <f t="shared" si="48"/>
        <v>133982916</v>
      </c>
      <c r="H21" s="83">
        <f t="shared" si="48"/>
        <v>30348113</v>
      </c>
      <c r="I21" s="83">
        <f t="shared" si="48"/>
        <v>30031294</v>
      </c>
      <c r="J21" s="83">
        <f t="shared" ref="J21:L21" si="49">SUM(J19:J20)</f>
        <v>29605456</v>
      </c>
      <c r="K21" s="83">
        <f t="shared" si="49"/>
        <v>32288510</v>
      </c>
      <c r="L21" s="83">
        <f t="shared" si="49"/>
        <v>122273373</v>
      </c>
      <c r="M21" s="83">
        <f t="shared" ref="M21:N21" si="50">SUM(M19:M20)</f>
        <v>30013763</v>
      </c>
      <c r="N21" s="83">
        <f t="shared" si="50"/>
        <v>29723403</v>
      </c>
      <c r="O21" s="83">
        <f t="shared" ref="O21:Q21" si="51">SUM(O19:O20)</f>
        <v>29394833</v>
      </c>
      <c r="P21" s="83">
        <f t="shared" si="51"/>
        <v>34206264</v>
      </c>
      <c r="Q21" s="83">
        <f t="shared" si="51"/>
        <v>123338263</v>
      </c>
      <c r="R21" s="83">
        <f t="shared" ref="R21:S21" si="52">SUM(R19:R20)</f>
        <v>33996184</v>
      </c>
      <c r="S21" s="83">
        <f t="shared" si="52"/>
        <v>31760968</v>
      </c>
      <c r="T21" s="83">
        <f t="shared" ref="T21:U21" si="53">SUM(T19:T20)</f>
        <v>35383757</v>
      </c>
      <c r="U21" s="83">
        <f t="shared" si="53"/>
        <v>38210324</v>
      </c>
      <c r="V21" s="83">
        <f t="shared" ref="V21:W21" si="54">SUM(V19:V20)</f>
        <v>139351233</v>
      </c>
      <c r="W21" s="83">
        <f t="shared" si="54"/>
        <v>34743991</v>
      </c>
      <c r="X21" s="83">
        <f t="shared" ref="X21:Y21" si="55">SUM(X19:X20)</f>
        <v>32860843</v>
      </c>
      <c r="Y21" s="83">
        <f t="shared" si="55"/>
        <v>36083156</v>
      </c>
      <c r="Z21" s="83">
        <f t="shared" ref="Z21:AA21" si="56">SUM(Z19:Z20)</f>
        <v>39726414</v>
      </c>
      <c r="AA21" s="83">
        <f t="shared" si="56"/>
        <v>143414404</v>
      </c>
      <c r="AB21" s="201"/>
    </row>
    <row r="22" spans="2:31" ht="13.5" thickTop="1" x14ac:dyDescent="0.2"/>
    <row r="23" spans="2:31" x14ac:dyDescent="0.2">
      <c r="B23" s="170" t="s">
        <v>218</v>
      </c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</row>
    <row r="24" spans="2:31" x14ac:dyDescent="0.2">
      <c r="B24" s="70" t="s">
        <v>219</v>
      </c>
      <c r="C24" s="125">
        <f t="shared" ref="C24:J24" si="57">C7*1000/C21</f>
        <v>31.720728469256077</v>
      </c>
      <c r="D24" s="125">
        <f t="shared" si="57"/>
        <v>33.356424159897749</v>
      </c>
      <c r="E24" s="125">
        <f t="shared" si="57"/>
        <v>31.552849479641818</v>
      </c>
      <c r="F24" s="125">
        <f t="shared" si="57"/>
        <v>30.915024276136002</v>
      </c>
      <c r="G24" s="125">
        <f t="shared" ref="G24" si="58">G7*1000/G21</f>
        <v>31.867716327046203</v>
      </c>
      <c r="H24" s="125">
        <f t="shared" si="57"/>
        <v>30.829491309723277</v>
      </c>
      <c r="I24" s="125">
        <f t="shared" si="57"/>
        <v>31.997498303830561</v>
      </c>
      <c r="J24" s="125">
        <f t="shared" si="57"/>
        <v>29.175270972796394</v>
      </c>
      <c r="K24" s="125">
        <f t="shared" ref="K24:L24" si="59">K7*1000/K21</f>
        <v>30.514798037228037</v>
      </c>
      <c r="L24" s="125">
        <f t="shared" si="59"/>
        <v>30.632734139697408</v>
      </c>
      <c r="M24" s="125">
        <f t="shared" ref="M24:N24" si="60">M7*1000/M21</f>
        <v>30.926915784804724</v>
      </c>
      <c r="N24" s="125">
        <f t="shared" si="60"/>
        <v>30.697234082233653</v>
      </c>
      <c r="O24" s="125">
        <f t="shared" ref="O24:P24" si="61">O7*1000/O21</f>
        <v>29.411557187463046</v>
      </c>
      <c r="P24" s="125">
        <f t="shared" si="61"/>
        <v>29.747891742537433</v>
      </c>
      <c r="Q24" s="125">
        <f>Q7*1000/Q21</f>
        <v>30.183426780396086</v>
      </c>
      <c r="R24" s="125">
        <f t="shared" ref="R24:S24" si="62">R7*1000/R21</f>
        <v>30.180139863506067</v>
      </c>
      <c r="S24" s="125">
        <f t="shared" si="62"/>
        <v>30.394974927272969</v>
      </c>
      <c r="T24" s="125">
        <f t="shared" ref="T24:U24" si="63">T7*1000/T21</f>
        <v>28.571086320048035</v>
      </c>
      <c r="U24" s="125">
        <f t="shared" si="63"/>
        <v>28.676730987807733</v>
      </c>
      <c r="V24" s="125">
        <f t="shared" ref="V24:W24" si="64">V7*1000/V21</f>
        <v>29.408300763660872</v>
      </c>
      <c r="W24" s="125">
        <f t="shared" si="64"/>
        <v>28.519120622911995</v>
      </c>
      <c r="X24" s="125">
        <f t="shared" ref="X24" si="65">X7*1000/X21</f>
        <v>27.889493728572582</v>
      </c>
      <c r="Y24" s="125">
        <f>Y7*1000/Y21</f>
        <v>27.279872638986284</v>
      </c>
      <c r="Z24" s="125">
        <f>Z7*1000/Z21</f>
        <v>27.584024776853155</v>
      </c>
      <c r="AA24" s="125">
        <f>AA7*1000/AA21</f>
        <v>27.804031686933467</v>
      </c>
      <c r="AC24" s="125"/>
      <c r="AE24" s="125"/>
    </row>
    <row r="25" spans="2:31" x14ac:dyDescent="0.2">
      <c r="B25" s="70" t="s">
        <v>220</v>
      </c>
      <c r="C25" s="125">
        <f t="shared" ref="C25:J25" si="66">C8*1000/C21</f>
        <v>22.696027761736211</v>
      </c>
      <c r="D25" s="125">
        <f t="shared" si="66"/>
        <v>23.498983682638887</v>
      </c>
      <c r="E25" s="125">
        <f t="shared" si="66"/>
        <v>22.050332253742578</v>
      </c>
      <c r="F25" s="125">
        <f t="shared" si="66"/>
        <v>23.321373785641512</v>
      </c>
      <c r="G25" s="125">
        <f t="shared" ref="G25" si="67">G8*1000/G21</f>
        <v>22.896067075207498</v>
      </c>
      <c r="H25" s="125">
        <f t="shared" si="66"/>
        <v>21.914652700423449</v>
      </c>
      <c r="I25" s="125">
        <f t="shared" si="66"/>
        <v>22.582689308721331</v>
      </c>
      <c r="J25" s="125">
        <f t="shared" si="66"/>
        <v>21.043589769230504</v>
      </c>
      <c r="K25" s="125">
        <f t="shared" ref="K25:L25" si="68">K8*1000/K21</f>
        <v>21.546028158011119</v>
      </c>
      <c r="L25" s="125">
        <f t="shared" si="68"/>
        <v>21.770479457406484</v>
      </c>
      <c r="M25" s="125">
        <f t="shared" ref="M25:N25" si="69">M8*1000/M21</f>
        <v>21.883328882572208</v>
      </c>
      <c r="N25" s="125">
        <f t="shared" si="69"/>
        <v>21.851837257688228</v>
      </c>
      <c r="O25" s="125">
        <f t="shared" ref="O25:Q25" si="70">O8*1000/O21</f>
        <v>20.747640775746</v>
      </c>
      <c r="P25" s="125">
        <f t="shared" si="70"/>
        <v>20.859294956877921</v>
      </c>
      <c r="Q25" s="125">
        <f t="shared" si="70"/>
        <v>21.321072096897765</v>
      </c>
      <c r="R25" s="125">
        <f t="shared" ref="R25:S25" si="71">R8*1000/R21</f>
        <v>20.945370184009352</v>
      </c>
      <c r="S25" s="125">
        <f t="shared" si="71"/>
        <v>21.908468242068114</v>
      </c>
      <c r="T25" s="125">
        <f t="shared" ref="T25:U25" si="72">T8*1000/T21</f>
        <v>20.451720606338974</v>
      </c>
      <c r="U25" s="125">
        <f t="shared" si="72"/>
        <v>20.604589634396547</v>
      </c>
      <c r="V25" s="125">
        <f t="shared" ref="V25:W25" si="73">V8*1000/V21</f>
        <v>20.946090771030075</v>
      </c>
      <c r="W25" s="125">
        <f t="shared" si="73"/>
        <v>20.690199480829172</v>
      </c>
      <c r="X25" s="125">
        <f t="shared" ref="X25:Y25" si="74">X8*1000/X21</f>
        <v>20.69488902412624</v>
      </c>
      <c r="Y25" s="125">
        <f t="shared" si="74"/>
        <v>19.70167923043725</v>
      </c>
      <c r="Z25" s="125">
        <f t="shared" ref="Z25:AA25" si="75">Z8*1000/Z21</f>
        <v>20.006186277870526</v>
      </c>
      <c r="AA25" s="125">
        <f t="shared" si="75"/>
        <v>20.253087036169656</v>
      </c>
      <c r="AC25" s="125"/>
      <c r="AE25" s="125"/>
    </row>
    <row r="26" spans="2:31" x14ac:dyDescent="0.2">
      <c r="B26" s="50"/>
    </row>
    <row r="27" spans="2:31" x14ac:dyDescent="0.2">
      <c r="B27" s="50"/>
    </row>
  </sheetData>
  <pageMargins left="0.7" right="0.7" top="0.75" bottom="0.75" header="0.3" footer="0.3"/>
  <pageSetup orientation="portrait" horizontalDpi="1200" verticalDpi="1200" r:id="rId1"/>
  <ignoredErrors>
    <ignoredError sqref="G14 Q7:Q1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F612B-3673-4AD2-803F-FCCED2D1761C}">
  <dimension ref="A1:AJ26"/>
  <sheetViews>
    <sheetView showGridLines="0" zoomScaleNormal="100" workbookViewId="0">
      <pane xSplit="2" ySplit="5" topLeftCell="R6" activePane="bottomRight" state="frozen"/>
      <selection activeCell="R17" sqref="R17"/>
      <selection pane="topRight" activeCell="R17" sqref="R17"/>
      <selection pane="bottomLeft" activeCell="R17" sqref="R17"/>
      <selection pane="bottomRight" activeCell="C20" sqref="C20"/>
    </sheetView>
  </sheetViews>
  <sheetFormatPr defaultColWidth="9.140625" defaultRowHeight="12.75" x14ac:dyDescent="0.2"/>
  <cols>
    <col min="1" max="1" width="6.28515625" style="20" customWidth="1"/>
    <col min="2" max="2" width="42.28515625" style="20" customWidth="1"/>
    <col min="3" max="3" width="14.7109375" style="20" customWidth="1"/>
    <col min="4" max="4" width="14.140625" style="20" customWidth="1"/>
    <col min="5" max="5" width="14" style="20" customWidth="1"/>
    <col min="6" max="7" width="14.140625" style="20" customWidth="1"/>
    <col min="8" max="8" width="13.85546875" style="20" customWidth="1"/>
    <col min="9" max="12" width="12.7109375" style="20" customWidth="1"/>
    <col min="13" max="16" width="12.7109375" style="20" bestFit="1" customWidth="1"/>
    <col min="17" max="17" width="12.7109375" style="20" customWidth="1"/>
    <col min="18" max="27" width="12.7109375" style="20" bestFit="1" customWidth="1"/>
    <col min="28" max="28" width="13.140625" style="20" customWidth="1"/>
    <col min="29" max="29" width="8" style="20" customWidth="1"/>
    <col min="30" max="30" width="13.28515625" style="20" customWidth="1"/>
    <col min="31" max="31" width="9.140625" style="20" customWidth="1"/>
    <col min="32" max="32" width="9.140625" style="20"/>
    <col min="33" max="33" width="10.7109375" style="20" customWidth="1"/>
    <col min="34" max="34" width="9.140625" style="20" customWidth="1"/>
    <col min="35" max="16384" width="9.140625" style="20"/>
  </cols>
  <sheetData>
    <row r="1" spans="1:36" x14ac:dyDescent="0.2">
      <c r="A1" s="154">
        <f>'2025 IR Data Book'!$A$5</f>
        <v>1</v>
      </c>
    </row>
    <row r="2" spans="1:36" x14ac:dyDescent="0.2">
      <c r="A2" s="154"/>
    </row>
    <row r="3" spans="1:36" ht="15" x14ac:dyDescent="0.25">
      <c r="B3" s="62"/>
    </row>
    <row r="4" spans="1:36" ht="14.25" customHeight="1" x14ac:dyDescent="0.2">
      <c r="B4" s="64" t="s">
        <v>325</v>
      </c>
      <c r="C4" s="64"/>
      <c r="D4" s="65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167" t="s">
        <v>17</v>
      </c>
      <c r="AC4" s="167"/>
      <c r="AD4" s="167" t="s">
        <v>17</v>
      </c>
      <c r="AE4" s="167"/>
    </row>
    <row r="5" spans="1:36" ht="27" customHeight="1" x14ac:dyDescent="0.2">
      <c r="B5" s="66"/>
      <c r="C5" s="194" t="s">
        <v>18</v>
      </c>
      <c r="D5" s="194" t="s">
        <v>19</v>
      </c>
      <c r="E5" s="194" t="s">
        <v>20</v>
      </c>
      <c r="F5" s="194" t="s">
        <v>21</v>
      </c>
      <c r="G5" s="194">
        <v>2021</v>
      </c>
      <c r="H5" s="194" t="s">
        <v>23</v>
      </c>
      <c r="I5" s="194" t="s">
        <v>24</v>
      </c>
      <c r="J5" s="194" t="s">
        <v>25</v>
      </c>
      <c r="K5" s="194" t="s">
        <v>26</v>
      </c>
      <c r="L5" s="194">
        <v>2022</v>
      </c>
      <c r="M5" s="194" t="s">
        <v>28</v>
      </c>
      <c r="N5" s="194" t="s">
        <v>29</v>
      </c>
      <c r="O5" s="194" t="s">
        <v>30</v>
      </c>
      <c r="P5" s="194" t="s">
        <v>31</v>
      </c>
      <c r="Q5" s="194">
        <v>2023</v>
      </c>
      <c r="R5" s="194" t="s">
        <v>33</v>
      </c>
      <c r="S5" s="194" t="s">
        <v>34</v>
      </c>
      <c r="T5" s="194" t="s">
        <v>35</v>
      </c>
      <c r="U5" s="194" t="s">
        <v>318</v>
      </c>
      <c r="V5" s="194">
        <v>2024</v>
      </c>
      <c r="W5" s="194" t="s">
        <v>323</v>
      </c>
      <c r="X5" s="194" t="s">
        <v>337</v>
      </c>
      <c r="Y5" s="194" t="s">
        <v>343</v>
      </c>
      <c r="Z5" s="194" t="s">
        <v>349</v>
      </c>
      <c r="AA5" s="194">
        <v>2025</v>
      </c>
      <c r="AB5" s="67" t="s">
        <v>350</v>
      </c>
      <c r="AC5" s="194" t="s">
        <v>36</v>
      </c>
      <c r="AD5" s="256" t="s">
        <v>351</v>
      </c>
      <c r="AE5" s="194" t="s">
        <v>36</v>
      </c>
    </row>
    <row r="6" spans="1:36" x14ac:dyDescent="0.2">
      <c r="B6" s="68"/>
      <c r="C6" s="68"/>
      <c r="D6" s="69"/>
      <c r="E6" s="68"/>
      <c r="F6" s="68"/>
      <c r="G6" s="68"/>
      <c r="H6" s="6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</row>
    <row r="7" spans="1:36" ht="15" x14ac:dyDescent="0.25">
      <c r="B7" s="172" t="s">
        <v>203</v>
      </c>
      <c r="C7" s="176">
        <f>646524.483858966*((('2025 IR Data Book'!$A$5)))</f>
        <v>646524.48385896604</v>
      </c>
      <c r="D7" s="176">
        <f>733555.714494972*((('2025 IR Data Book'!$A$5)))</f>
        <v>733555.71449497202</v>
      </c>
      <c r="E7" s="176">
        <f>608876.826084214*((('2025 IR Data Book'!$A$5)))</f>
        <v>608876.82608421403</v>
      </c>
      <c r="F7" s="176">
        <f>673196.558903118*((('2025 IR Data Book'!$A$5)))</f>
        <v>673196.55890311801</v>
      </c>
      <c r="G7" s="176">
        <f>C7+D7+E7+F7</f>
        <v>2662153.5833412702</v>
      </c>
      <c r="H7" s="176">
        <f>558977.0652*((('2025 IR Data Book'!$A$5)))</f>
        <v>558977.06519999995</v>
      </c>
      <c r="I7" s="176">
        <f>588432.255458431*((('2025 IR Data Book'!$A$5)))</f>
        <v>588432.25545843097</v>
      </c>
      <c r="J7" s="176">
        <f>(496499.900127167-1231.05271916011-1342.02838895886)*((('2025 IR Data Book'!$A$5)))</f>
        <v>493926.81901904807</v>
      </c>
      <c r="K7" s="176">
        <f>(L7-J7-I7-H7)</f>
        <v>607548.92735698551</v>
      </c>
      <c r="L7" s="176">
        <f>('[17]Sum Per Produc-22 Vs 21 Express'!$C$5+'[17]Sum Per Produc-22 Vs 21 Express'!$H$5)*3.6726*((('2025 IR Data Book'!$A$5)))</f>
        <v>2248885.0670344643</v>
      </c>
      <c r="M7" s="176">
        <f>566580.920045477*((('2025 IR Data Book'!$A$5)))</f>
        <v>566580.92004547699</v>
      </c>
      <c r="N7" s="176">
        <f>561041.184136171*((('2025 IR Data Book'!$A$5)))</f>
        <v>561041.18413617101</v>
      </c>
      <c r="O7" s="176">
        <f>511950.953745064*(((('2025 IR Data Book'!$A$5))))</f>
        <v>511950.95374506398</v>
      </c>
      <c r="P7" s="176">
        <f>('[18]Sum Per Produc-23 Vs 22 Express'!$C$5+'[18]Sum Per Produc-23 Vs 22 Express'!$H$5)*3.6726*(((('2025 IR Data Book'!$A$5))))</f>
        <v>655838.6843325448</v>
      </c>
      <c r="Q7" s="176">
        <f>M7+N7+O7+P7</f>
        <v>2295411.742259257</v>
      </c>
      <c r="R7" s="176">
        <f>('[19]Sum Per Produc-24 Vs 23 Express'!$C$5+'[19]Sum Per Produc-24 Vs 23 Express'!$H$5)*3.6726*(((('2025 IR Data Book'!$A$5))))</f>
        <v>645805.18974832539</v>
      </c>
      <c r="S7" s="176">
        <f>('[20]Sum Per Produc-24 Vs 23 Express'!$C$5+'[20]Sum Per Produc-24 Vs 23 Express'!$H$5)*3.6726*(((('2025 IR Data Book'!$A$5))))</f>
        <v>589299.65836518747</v>
      </c>
      <c r="T7" s="176">
        <f>('[21]Sum Per Produc-24 Vs 23 Express'!$C$5+'[21]Sum Per Produc-24 Vs 23 Express'!$H$5)*3.6726*(((('2025 IR Data Book'!$A$5))))</f>
        <v>562319.07676528848</v>
      </c>
      <c r="U7" s="176">
        <f>('[22]Sum Per Produc-24 Vs 23 Express'!$C$5+'[22]Sum Per Produc-24 Vs 23 Express'!$H$5)*3.6726*(((('2025 IR Data Book'!$A$5))))</f>
        <v>615059.67733121954</v>
      </c>
      <c r="V7" s="176">
        <f>('[23]Sum Per Produc-24 Vs 23 Express'!$C$5+'[23]Sum Per Produc-24 Vs 23 Express'!$H$5)*3.6726*(((('2025 IR Data Book'!$A$5))))</f>
        <v>2412483.6022100202</v>
      </c>
      <c r="W7" s="176">
        <f>('[24]Sum Per Produc-25 Vs 24 Express'!$C$5+'[24]Sum Per Produc-25 Vs 24 Express'!$H$5)*3.6726*(((('2025 IR Data Book'!$A$5))))</f>
        <v>560109.79993327393</v>
      </c>
      <c r="X7" s="176">
        <f>('[25]Sum Per Produc-25 Vs 24 Express'!$C$5+'[25]Sum Per Produc-25 Vs 24 Express'!$H$5)*3.6726*(((('2025 IR Data Book'!$A$5))))</f>
        <v>494456.2377746806</v>
      </c>
      <c r="Y7" s="176">
        <f>('[26]Sum Per Produc-25 Vs 24 Express'!$C$5+'[26]Sum Per Produc-25 Vs 24 Express'!$H$5)*3.6726*(((('2025 IR Data Book'!$A$5))))</f>
        <v>514235.3900693832</v>
      </c>
      <c r="Z7" s="176">
        <f>('[27]Sum Per Produc-25 Vs 24 Express'!$C$5+'[27]Sum Per Produc-25 Vs 24 Express'!$H$5)*3.6726*(((('2025 IR Data Book'!$A$5))))</f>
        <v>575452.80596649961</v>
      </c>
      <c r="AA7" s="176">
        <f>('[28]Sum Per Produc-25 Vs 24 Express'!$C$5+'[28]Sum Per Produc-25 Vs 24 Express'!$H$5)*3.6726*(((('2025 IR Data Book'!$A$5))))</f>
        <v>2144254.2337438376</v>
      </c>
      <c r="AB7" s="177">
        <f>Z7-U7</f>
        <v>-39606.871364719933</v>
      </c>
      <c r="AC7" s="262">
        <f>AB7/U7</f>
        <v>-6.4395168183641133E-2</v>
      </c>
      <c r="AD7" s="177">
        <f>(AA7)-(V7)</f>
        <v>-268229.36846618261</v>
      </c>
      <c r="AE7" s="178">
        <f>AD7/(V7)</f>
        <v>-0.11118391363177098</v>
      </c>
      <c r="AG7" s="201"/>
      <c r="AH7" s="201"/>
      <c r="AI7" s="230"/>
      <c r="AJ7" s="230"/>
    </row>
    <row r="8" spans="1:36" ht="15" x14ac:dyDescent="0.25">
      <c r="B8" s="173" t="s">
        <v>206</v>
      </c>
      <c r="C8" s="179">
        <f>444124.447612567*((('2025 IR Data Book'!$A$5)))</f>
        <v>444124.44761256699</v>
      </c>
      <c r="D8" s="179">
        <f>498401.214070459*((('2025 IR Data Book'!$A$5)))</f>
        <v>498401.21407045901</v>
      </c>
      <c r="E8" s="179">
        <f>414055.145401605*((('2025 IR Data Book'!$A$5)))</f>
        <v>414055.145401605</v>
      </c>
      <c r="F8" s="179">
        <f>488658.173014657*((('2025 IR Data Book'!$A$5)))</f>
        <v>488658.17301465699</v>
      </c>
      <c r="G8" s="179">
        <f>C8+D8+E8+F8</f>
        <v>1845238.9800992878</v>
      </c>
      <c r="H8" s="179">
        <f>381194.278492367*((('2025 IR Data Book'!$A$5)))</f>
        <v>381194.27849236701</v>
      </c>
      <c r="I8" s="179">
        <f>398724.179629226*((('2025 IR Data Book'!$A$5)))</f>
        <v>398724.17962922598</v>
      </c>
      <c r="J8" s="179">
        <f>(342797.531928598-310.198076032919-399.469364759988)*((('2025 IR Data Book'!$A$5)))</f>
        <v>342087.86448780511</v>
      </c>
      <c r="K8" s="179">
        <f>(L8-J8-I8-H8)</f>
        <v>413550.1746652216</v>
      </c>
      <c r="L8" s="179">
        <f>('[17]Sum Per Produc-22 Vs 21 Express'!$C$9+'[17]Sum Per Produc-22 Vs 21 Express'!$H$9)*3.6726*((('2025 IR Data Book'!$A$5)))</f>
        <v>1535556.4972746198</v>
      </c>
      <c r="M8" s="179">
        <f>382785.441676797*((('2025 IR Data Book'!$A$5)))</f>
        <v>382785.441676797</v>
      </c>
      <c r="N8" s="179">
        <f>372716.871459385*((('2025 IR Data Book'!$A$5)))</f>
        <v>372716.87145938497</v>
      </c>
      <c r="O8" s="179">
        <f>329440.75348802*(((('2025 IR Data Book'!$A$5))))</f>
        <v>329440.75348801998</v>
      </c>
      <c r="P8" s="179">
        <f>('[18]Sum Per Produc-23 Vs 22 Express'!$C$9+'[18]Sum Per Produc-23 Vs 22 Express'!$H$9)*3.6726*(((('2025 IR Data Book'!$A$5))))</f>
        <v>430227.4120648781</v>
      </c>
      <c r="Q8" s="179">
        <f>M8+N8+O8+P8</f>
        <v>1515170.4786890801</v>
      </c>
      <c r="R8" s="179">
        <f>('[19]Sum Per Produc-24 Vs 23 Express'!$C$9+'[19]Sum Per Produc-24 Vs 23 Express'!$H$9)*3.6726*(((('2025 IR Data Book'!$A$5))))</f>
        <v>426663.05878373416</v>
      </c>
      <c r="S8" s="179">
        <f>('[20]Sum Per Produc-24 Vs 23 Express'!$C$9+'[20]Sum Per Produc-24 Vs 23 Express'!$H$9)*3.6726*(((('2025 IR Data Book'!$A$5))))</f>
        <v>401195.41631715</v>
      </c>
      <c r="T8" s="179">
        <f>('[21]Sum Per Produc-24 Vs 23 Express'!$C$9+'[21]Sum Per Produc-24 Vs 23 Express'!$H$9)*3.6726*(((('2025 IR Data Book'!$A$5))))</f>
        <v>383618.61504889419</v>
      </c>
      <c r="U8" s="179">
        <f>('[22]Sum Per Produc-24 Vs 23 Express'!$C$9+'[22]Sum Per Produc-24 Vs 23 Express'!$H$9)*3.6726*(((('2025 IR Data Book'!$A$5))))</f>
        <v>420182.71756849182</v>
      </c>
      <c r="V8" s="179">
        <f>('[23]Sum Per Produc-24 Vs 23 Express'!$C$9+'[23]Sum Per Produc-24 Vs 23 Express'!$H$9)*3.6726*(((('2025 IR Data Book'!$A$5))))</f>
        <v>1631659.80771827</v>
      </c>
      <c r="W8" s="179">
        <f>('[24]Sum Per Produc-25 Vs 24 Express'!$C$9+'[24]Sum Per Produc-25 Vs 24 Express'!$H$9)*3.6726*(((('2025 IR Data Book'!$A$5))))</f>
        <v>383512.48860590038</v>
      </c>
      <c r="X8" s="179">
        <f>('[25]Sum Per Produc-25 Vs 24 Express'!$C$9+'[25]Sum Per Produc-25 Vs 24 Express'!$H$9)*3.6726*(((('2025 IR Data Book'!$A$5))))</f>
        <v>347016.76814956358</v>
      </c>
      <c r="Y8" s="179">
        <f>('[26]Sum Per Produc-25 Vs 24 Express'!$C$9+'[26]Sum Per Produc-25 Vs 24 Express'!$H$9)*3.6726*(((('2025 IR Data Book'!$A$5))))</f>
        <v>339390.33587745833</v>
      </c>
      <c r="Z8" s="179">
        <f>('[27]Sum Per Produc-25 Vs 24 Express'!$C$9+'[27]Sum Per Produc-25 Vs 24 Express'!$H$9)*3.6726*(((('2025 IR Data Book'!$A$5))))</f>
        <v>397501.29272805282</v>
      </c>
      <c r="AA8" s="179">
        <f>('[28]Sum Per Produc-25 Vs 24 Express'!$C$9+'[28]Sum Per Produc-25 Vs 24 Express'!$H$9)*3.6726*(((('2025 IR Data Book'!$A$5))))</f>
        <v>1467420.8843693731</v>
      </c>
      <c r="AB8" s="180">
        <f>Z8-U8</f>
        <v>-22681.424840438995</v>
      </c>
      <c r="AC8" s="263">
        <f>AB8/U8</f>
        <v>-5.3979908958872905E-2</v>
      </c>
      <c r="AD8" s="180">
        <f>(AA8)-(V8)</f>
        <v>-164238.9233488969</v>
      </c>
      <c r="AE8" s="229">
        <f>AD8/(V8)</f>
        <v>-0.10065757737733966</v>
      </c>
      <c r="AG8" s="201"/>
      <c r="AH8" s="201"/>
      <c r="AI8" s="230"/>
    </row>
    <row r="9" spans="1:36" ht="15" x14ac:dyDescent="0.25">
      <c r="B9" s="175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264"/>
      <c r="AD9" s="179"/>
      <c r="AE9" s="181"/>
      <c r="AG9" s="201"/>
      <c r="AH9" s="201"/>
    </row>
    <row r="10" spans="1:36" ht="15" x14ac:dyDescent="0.25">
      <c r="B10" s="172" t="s">
        <v>207</v>
      </c>
      <c r="C10" s="176">
        <f t="shared" ref="C10:E10" si="0">C7-C8</f>
        <v>202400.03624639905</v>
      </c>
      <c r="D10" s="176">
        <f t="shared" ref="D10" si="1">D7-D8</f>
        <v>235154.50042451301</v>
      </c>
      <c r="E10" s="176">
        <f t="shared" si="0"/>
        <v>194821.68068260903</v>
      </c>
      <c r="F10" s="176">
        <f t="shared" ref="F10:G10" si="2">F7-F8</f>
        <v>184538.38588846102</v>
      </c>
      <c r="G10" s="176">
        <f t="shared" si="2"/>
        <v>816914.6032419824</v>
      </c>
      <c r="H10" s="176">
        <f t="shared" ref="H10:I10" si="3">H7-H8</f>
        <v>177782.78670763294</v>
      </c>
      <c r="I10" s="176">
        <f t="shared" si="3"/>
        <v>189708.07582920499</v>
      </c>
      <c r="J10" s="176">
        <f t="shared" ref="J10:K10" si="4">J7-J8</f>
        <v>151838.95453124295</v>
      </c>
      <c r="K10" s="176">
        <f t="shared" si="4"/>
        <v>193998.75269176392</v>
      </c>
      <c r="L10" s="176">
        <f t="shared" ref="L10" si="5">L7-L8</f>
        <v>713328.56975984457</v>
      </c>
      <c r="M10" s="176">
        <f t="shared" ref="M10:N10" si="6">M7-M8</f>
        <v>183795.47836867999</v>
      </c>
      <c r="N10" s="176">
        <f t="shared" si="6"/>
        <v>188324.31267678604</v>
      </c>
      <c r="O10" s="176">
        <f t="shared" ref="O10:Q10" si="7">O7-O8</f>
        <v>182510.20025704399</v>
      </c>
      <c r="P10" s="176">
        <f t="shared" si="7"/>
        <v>225611.2722676667</v>
      </c>
      <c r="Q10" s="176">
        <f t="shared" si="7"/>
        <v>780241.2635701769</v>
      </c>
      <c r="R10" s="176">
        <f t="shared" ref="R10:S10" si="8">R7-R8</f>
        <v>219142.13096459123</v>
      </c>
      <c r="S10" s="176">
        <f t="shared" si="8"/>
        <v>188104.24204803747</v>
      </c>
      <c r="T10" s="176">
        <f t="shared" ref="T10:V10" si="9">T7-T8</f>
        <v>178700.46171639429</v>
      </c>
      <c r="U10" s="176">
        <f t="shared" ref="U10" si="10">U7-U8</f>
        <v>194876.95976272773</v>
      </c>
      <c r="V10" s="176">
        <f t="shared" si="9"/>
        <v>780823.79449175019</v>
      </c>
      <c r="W10" s="176">
        <f t="shared" ref="W10:X10" si="11">W7-W8</f>
        <v>176597.31132737355</v>
      </c>
      <c r="X10" s="176">
        <f t="shared" si="11"/>
        <v>147439.46962511702</v>
      </c>
      <c r="Y10" s="176">
        <f t="shared" ref="Y10:AA10" si="12">Y7-Y8</f>
        <v>174845.05419192486</v>
      </c>
      <c r="Z10" s="176">
        <f t="shared" ref="Z10" si="13">Z7-Z8</f>
        <v>177951.51323844679</v>
      </c>
      <c r="AA10" s="176">
        <f t="shared" si="12"/>
        <v>676833.34937446448</v>
      </c>
      <c r="AB10" s="177">
        <f>Z10-U10</f>
        <v>-16925.446524280938</v>
      </c>
      <c r="AC10" s="262">
        <f>AB10/U10</f>
        <v>-8.6851963130420859E-2</v>
      </c>
      <c r="AD10" s="177">
        <f>(AA10)-(V10)</f>
        <v>-103990.44511728571</v>
      </c>
      <c r="AE10" s="178">
        <f>AD10/(V10)</f>
        <v>-0.13318042540567637</v>
      </c>
      <c r="AG10" s="201"/>
      <c r="AH10" s="201"/>
      <c r="AJ10" s="230"/>
    </row>
    <row r="11" spans="1:36" ht="15" x14ac:dyDescent="0.25">
      <c r="B11" s="174" t="s">
        <v>208</v>
      </c>
      <c r="C11" s="182">
        <f t="shared" ref="C11:E11" si="14">C10/C7</f>
        <v>0.31305857906311085</v>
      </c>
      <c r="D11" s="182">
        <f t="shared" ref="D11" si="15">D10/D7</f>
        <v>0.32056801654992056</v>
      </c>
      <c r="E11" s="182">
        <f t="shared" si="14"/>
        <v>0.31996895322086566</v>
      </c>
      <c r="F11" s="182">
        <f t="shared" ref="F11:G11" si="16">F10/F7</f>
        <v>0.27412259235124603</v>
      </c>
      <c r="G11" s="182">
        <f t="shared" si="16"/>
        <v>0.306862311909395</v>
      </c>
      <c r="H11" s="182">
        <f t="shared" ref="H11:I11" si="17">H10/H7</f>
        <v>0.31805023457272419</v>
      </c>
      <c r="I11" s="182">
        <f t="shared" si="17"/>
        <v>0.32239577975107564</v>
      </c>
      <c r="J11" s="182">
        <f t="shared" ref="J11:K11" si="18">J10/J7</f>
        <v>0.30741184459835408</v>
      </c>
      <c r="K11" s="182">
        <f t="shared" si="18"/>
        <v>0.31931379343506522</v>
      </c>
      <c r="L11" s="182">
        <f t="shared" ref="L11" si="19">L10/L7</f>
        <v>0.31719209674885213</v>
      </c>
      <c r="M11" s="182">
        <f t="shared" ref="M11:N11" si="20">M10/M7</f>
        <v>0.32439404834516405</v>
      </c>
      <c r="N11" s="182">
        <f t="shared" si="20"/>
        <v>0.33566931983210274</v>
      </c>
      <c r="O11" s="182">
        <f t="shared" ref="O11:Q11" si="21">O10/O7</f>
        <v>0.3564993851890127</v>
      </c>
      <c r="P11" s="182">
        <f t="shared" si="21"/>
        <v>0.34400421575813894</v>
      </c>
      <c r="Q11" s="182">
        <f t="shared" si="21"/>
        <v>0.33991342346372472</v>
      </c>
      <c r="R11" s="182">
        <f t="shared" ref="R11:S11" si="22">R10/R7</f>
        <v>0.33933163505544511</v>
      </c>
      <c r="S11" s="182">
        <f t="shared" si="22"/>
        <v>0.31919964550780339</v>
      </c>
      <c r="T11" s="182">
        <f t="shared" ref="T11:V11" si="23">T10/T7</f>
        <v>0.31779192472778889</v>
      </c>
      <c r="U11" s="182">
        <f t="shared" ref="U11" si="24">U10/U7</f>
        <v>0.31684236009147992</v>
      </c>
      <c r="V11" s="182">
        <f t="shared" si="23"/>
        <v>0.32365973131442455</v>
      </c>
      <c r="W11" s="182">
        <f t="shared" ref="W11:X11" si="25">W10/W7</f>
        <v>0.31529052223048348</v>
      </c>
      <c r="X11" s="182">
        <f t="shared" si="25"/>
        <v>0.29818507354396834</v>
      </c>
      <c r="Y11" s="182">
        <f t="shared" ref="Y11:AA11" si="26">Y10/Y7</f>
        <v>0.34000976511619302</v>
      </c>
      <c r="Z11" s="182">
        <f t="shared" ref="Z11" si="27">Z10/Z7</f>
        <v>0.30923737167215476</v>
      </c>
      <c r="AA11" s="182">
        <f t="shared" si="26"/>
        <v>0.31564976704871561</v>
      </c>
      <c r="AB11" s="182"/>
      <c r="AC11" s="182"/>
      <c r="AD11" s="182"/>
      <c r="AE11" s="182"/>
    </row>
    <row r="13" spans="1:36" x14ac:dyDescent="0.2">
      <c r="B13" s="170" t="s">
        <v>214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</row>
    <row r="14" spans="1:36" x14ac:dyDescent="0.2">
      <c r="B14" s="70"/>
      <c r="C14" s="81"/>
      <c r="D14" s="81"/>
      <c r="E14" s="81"/>
      <c r="F14" s="81"/>
      <c r="G14" s="81"/>
      <c r="H14" s="81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spans="1:36" x14ac:dyDescent="0.2">
      <c r="B15" s="70" t="s">
        <v>216</v>
      </c>
      <c r="C15" s="81">
        <v>6203827</v>
      </c>
      <c r="D15" s="81">
        <v>7200104</v>
      </c>
      <c r="E15" s="81">
        <v>6300214</v>
      </c>
      <c r="F15" s="81">
        <v>6052494</v>
      </c>
      <c r="G15" s="81">
        <f>C15+D15+E15+F15</f>
        <v>25756639</v>
      </c>
      <c r="H15" s="81">
        <f>'Historic Express Rev_Vol_ Data'!J26*1000000</f>
        <v>5339769</v>
      </c>
      <c r="I15" s="28">
        <v>5930134</v>
      </c>
      <c r="J15" s="28">
        <v>5123776</v>
      </c>
      <c r="K15" s="28">
        <v>5811173</v>
      </c>
      <c r="L15" s="28">
        <f>H15+I15+J15+K15</f>
        <v>22204852</v>
      </c>
      <c r="M15" s="28">
        <v>5393659</v>
      </c>
      <c r="N15" s="28">
        <v>5491225</v>
      </c>
      <c r="O15" s="28">
        <v>4852560</v>
      </c>
      <c r="P15" s="28">
        <v>7610172</v>
      </c>
      <c r="Q15" s="28">
        <f>M15+N15+O15+P15</f>
        <v>23347616</v>
      </c>
      <c r="R15" s="28">
        <v>7767896</v>
      </c>
      <c r="S15" s="28">
        <f>'Aramex Courier'!S20</f>
        <v>6652191</v>
      </c>
      <c r="T15" s="28">
        <f>'Aramex Courier'!T20</f>
        <v>6495790</v>
      </c>
      <c r="U15" s="28">
        <f>'Aramex Courier'!U20</f>
        <v>7179254</v>
      </c>
      <c r="V15" s="28">
        <f>'Aramex Courier'!V20</f>
        <v>28095131</v>
      </c>
      <c r="W15" s="28">
        <f>'Aramex Courier'!W20</f>
        <v>6399280</v>
      </c>
      <c r="X15" s="28">
        <f>'Aramex Courier'!X20</f>
        <v>5281001</v>
      </c>
      <c r="Y15" s="28">
        <f>'Aramex Courier'!Y20</f>
        <v>5573365</v>
      </c>
      <c r="Z15" s="28">
        <f>'Aramex Courier'!Z20</f>
        <v>6325792</v>
      </c>
      <c r="AA15" s="28">
        <f>'Aramex Courier'!AA20</f>
        <v>23579438</v>
      </c>
      <c r="AB15" s="201">
        <f>SUM(W15:Z15)-AA15</f>
        <v>0</v>
      </c>
      <c r="AC15" s="28"/>
      <c r="AD15" s="28"/>
      <c r="AE15" s="28"/>
    </row>
    <row r="16" spans="1:36" ht="13.5" thickBot="1" x14ac:dyDescent="0.25">
      <c r="B16" s="82" t="s">
        <v>221</v>
      </c>
      <c r="C16" s="83">
        <f t="shared" ref="C16:J16" si="28">SUM(C14:C15)</f>
        <v>6203827</v>
      </c>
      <c r="D16" s="83">
        <f t="shared" si="28"/>
        <v>7200104</v>
      </c>
      <c r="E16" s="83">
        <f t="shared" si="28"/>
        <v>6300214</v>
      </c>
      <c r="F16" s="83">
        <f t="shared" si="28"/>
        <v>6052494</v>
      </c>
      <c r="G16" s="83">
        <f t="shared" si="28"/>
        <v>25756639</v>
      </c>
      <c r="H16" s="83">
        <f t="shared" si="28"/>
        <v>5339769</v>
      </c>
      <c r="I16" s="83">
        <f t="shared" si="28"/>
        <v>5930134</v>
      </c>
      <c r="J16" s="83">
        <f t="shared" si="28"/>
        <v>5123776</v>
      </c>
      <c r="K16" s="83">
        <f t="shared" ref="K16:L16" si="29">SUM(K14:K15)</f>
        <v>5811173</v>
      </c>
      <c r="L16" s="83">
        <f t="shared" si="29"/>
        <v>22204852</v>
      </c>
      <c r="M16" s="83">
        <f t="shared" ref="M16:N16" si="30">SUM(M14:M15)</f>
        <v>5393659</v>
      </c>
      <c r="N16" s="83">
        <f t="shared" si="30"/>
        <v>5491225</v>
      </c>
      <c r="O16" s="83">
        <f t="shared" ref="O16:Q16" si="31">SUM(O14:O15)</f>
        <v>4852560</v>
      </c>
      <c r="P16" s="83">
        <f t="shared" si="31"/>
        <v>7610172</v>
      </c>
      <c r="Q16" s="83">
        <f t="shared" si="31"/>
        <v>23347616</v>
      </c>
      <c r="R16" s="83">
        <f t="shared" ref="R16:S16" si="32">SUM(R14:R15)</f>
        <v>7767896</v>
      </c>
      <c r="S16" s="83">
        <f t="shared" si="32"/>
        <v>6652191</v>
      </c>
      <c r="T16" s="83">
        <f t="shared" ref="T16:V16" si="33">SUM(T14:T15)</f>
        <v>6495790</v>
      </c>
      <c r="U16" s="83">
        <f t="shared" ref="U16" si="34">SUM(U14:U15)</f>
        <v>7179254</v>
      </c>
      <c r="V16" s="83">
        <f t="shared" si="33"/>
        <v>28095131</v>
      </c>
      <c r="W16" s="83">
        <f t="shared" ref="W16:X16" si="35">SUM(W14:W15)</f>
        <v>6399280</v>
      </c>
      <c r="X16" s="83">
        <f t="shared" si="35"/>
        <v>5281001</v>
      </c>
      <c r="Y16" s="83">
        <f t="shared" ref="Y16:AA16" si="36">SUM(Y14:Y15)</f>
        <v>5573365</v>
      </c>
      <c r="Z16" s="83">
        <f t="shared" ref="Z16" si="37">SUM(Z14:Z15)</f>
        <v>6325792</v>
      </c>
      <c r="AA16" s="83">
        <f t="shared" si="36"/>
        <v>23579438</v>
      </c>
      <c r="AB16" s="201">
        <f t="shared" ref="AB16" si="38">SUM(W16:Z16)-AA16</f>
        <v>0</v>
      </c>
    </row>
    <row r="17" spans="2:31" ht="13.5" thickTop="1" x14ac:dyDescent="0.2">
      <c r="AB17" s="201"/>
    </row>
    <row r="18" spans="2:31" x14ac:dyDescent="0.2">
      <c r="B18" s="170" t="s">
        <v>218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</row>
    <row r="19" spans="2:31" x14ac:dyDescent="0.2">
      <c r="B19" s="70" t="s">
        <v>222</v>
      </c>
      <c r="C19" s="125">
        <f t="shared" ref="C19:J19" si="39">C7*1000/C16</f>
        <v>104.21381573969842</v>
      </c>
      <c r="D19" s="125">
        <f t="shared" si="39"/>
        <v>101.88126650600769</v>
      </c>
      <c r="E19" s="125">
        <f t="shared" si="39"/>
        <v>96.643832429218108</v>
      </c>
      <c r="F19" s="125">
        <f t="shared" si="39"/>
        <v>111.22630751936607</v>
      </c>
      <c r="G19" s="125">
        <f t="shared" ref="G19" si="40">G7*1000/G16</f>
        <v>103.35795688798024</v>
      </c>
      <c r="H19" s="125">
        <f t="shared" si="39"/>
        <v>104.6818814072294</v>
      </c>
      <c r="I19" s="125">
        <f t="shared" si="39"/>
        <v>99.227480434410253</v>
      </c>
      <c r="J19" s="125">
        <f t="shared" si="39"/>
        <v>96.398987586312927</v>
      </c>
      <c r="K19" s="125">
        <f t="shared" ref="K19:L19" si="41">K7*1000/K16</f>
        <v>104.54841515766017</v>
      </c>
      <c r="L19" s="125">
        <f t="shared" si="41"/>
        <v>101.27899375480928</v>
      </c>
      <c r="M19" s="125">
        <f t="shared" ref="M19:N19" si="42">M7*1000/M16</f>
        <v>105.04574353800955</v>
      </c>
      <c r="N19" s="125">
        <f t="shared" si="42"/>
        <v>102.17049640766331</v>
      </c>
      <c r="O19" s="125">
        <f t="shared" ref="O19:Q19" si="43">O7*1000/O16</f>
        <v>105.50121044254249</v>
      </c>
      <c r="P19" s="125">
        <f t="shared" si="43"/>
        <v>86.179219646092733</v>
      </c>
      <c r="Q19" s="125">
        <f t="shared" si="43"/>
        <v>98.314609177196374</v>
      </c>
      <c r="R19" s="125">
        <f t="shared" ref="R19:S19" si="44">R7*1000/R16</f>
        <v>83.137723490160695</v>
      </c>
      <c r="S19" s="125">
        <f t="shared" si="44"/>
        <v>88.587302794701401</v>
      </c>
      <c r="T19" s="125">
        <f t="shared" ref="T19:V19" si="45">T7*1000/T16</f>
        <v>86.566695777617269</v>
      </c>
      <c r="U19" s="125">
        <f t="shared" ref="U19" si="46">U7*1000/U16</f>
        <v>85.671808983387351</v>
      </c>
      <c r="V19" s="125">
        <f t="shared" si="45"/>
        <v>85.868387736295659</v>
      </c>
      <c r="W19" s="125">
        <f t="shared" ref="W19:X19" si="47">W7*1000/W16</f>
        <v>87.527003027414636</v>
      </c>
      <c r="X19" s="125">
        <f t="shared" si="47"/>
        <v>93.629264182051969</v>
      </c>
      <c r="Y19" s="125">
        <f>Y7*1000/Y16</f>
        <v>92.266591201075684</v>
      </c>
      <c r="Z19" s="125">
        <f>Z7*1000/Z16</f>
        <v>90.969289848053734</v>
      </c>
      <c r="AA19" s="125">
        <f>AA7*1000/AA16</f>
        <v>90.937461433297841</v>
      </c>
      <c r="AB19" s="125"/>
      <c r="AC19" s="2"/>
      <c r="AD19" s="125"/>
      <c r="AE19" s="2"/>
    </row>
    <row r="20" spans="2:31" x14ac:dyDescent="0.2">
      <c r="B20" s="70" t="s">
        <v>223</v>
      </c>
      <c r="C20" s="125">
        <f t="shared" ref="C20:J20" si="48">C8*1000/C16</f>
        <v>71.588786665483582</v>
      </c>
      <c r="D20" s="125">
        <f t="shared" si="48"/>
        <v>69.221390978582946</v>
      </c>
      <c r="E20" s="125">
        <f t="shared" si="48"/>
        <v>65.720806531588451</v>
      </c>
      <c r="F20" s="125">
        <f t="shared" si="48"/>
        <v>80.736663764500548</v>
      </c>
      <c r="G20" s="125">
        <f t="shared" ref="G20" si="49">G8*1000/G16</f>
        <v>71.641295283103034</v>
      </c>
      <c r="H20" s="125">
        <f t="shared" si="48"/>
        <v>71.387784470146002</v>
      </c>
      <c r="I20" s="125">
        <f t="shared" si="48"/>
        <v>67.236959507023954</v>
      </c>
      <c r="J20" s="125">
        <f t="shared" si="48"/>
        <v>66.764796994990633</v>
      </c>
      <c r="K20" s="125">
        <f t="shared" ref="K20:L20" si="50">K8*1000/K16</f>
        <v>71.164664116043625</v>
      </c>
      <c r="L20" s="125">
        <f t="shared" si="50"/>
        <v>69.154097369107433</v>
      </c>
      <c r="M20" s="125">
        <f t="shared" ref="M20:N20" si="51">M8*1000/M16</f>
        <v>70.969529530286763</v>
      </c>
      <c r="N20" s="125">
        <f t="shared" si="51"/>
        <v>67.874995371594679</v>
      </c>
      <c r="O20" s="125">
        <f t="shared" ref="O20:Q20" si="52">O8*1000/O16</f>
        <v>67.89009378307945</v>
      </c>
      <c r="P20" s="125">
        <f t="shared" si="52"/>
        <v>56.533204777090205</v>
      </c>
      <c r="Q20" s="125">
        <f t="shared" si="52"/>
        <v>64.896153795277428</v>
      </c>
      <c r="R20" s="125">
        <f t="shared" ref="R20:S20" si="53">R8*1000/R16</f>
        <v>54.926463843456986</v>
      </c>
      <c r="S20" s="125">
        <f t="shared" si="53"/>
        <v>60.310267146140269</v>
      </c>
      <c r="T20" s="125">
        <f t="shared" ref="T20:V20" si="54">T8*1000/T16</f>
        <v>59.05649890912332</v>
      </c>
      <c r="U20" s="125">
        <f t="shared" ref="U20" si="55">U8*1000/U16</f>
        <v>58.527350831784446</v>
      </c>
      <c r="V20" s="125">
        <f t="shared" si="54"/>
        <v>58.076248433163386</v>
      </c>
      <c r="W20" s="125">
        <f t="shared" ref="W20:X20" si="56">W8*1000/W16</f>
        <v>59.930568533631963</v>
      </c>
      <c r="X20" s="125">
        <f t="shared" si="56"/>
        <v>65.710415156059156</v>
      </c>
      <c r="Y20" s="125">
        <f t="shared" ref="Y20:AA20" si="57">Y8*1000/Y16</f>
        <v>60.895049198726142</v>
      </c>
      <c r="Z20" s="125">
        <f t="shared" ref="Z20" si="58">Z8*1000/Z16</f>
        <v>62.83818575255917</v>
      </c>
      <c r="AA20" s="125">
        <f t="shared" si="57"/>
        <v>62.233072915875816</v>
      </c>
      <c r="AC20" s="2"/>
      <c r="AE20" s="2"/>
    </row>
    <row r="21" spans="2:31" x14ac:dyDescent="0.2">
      <c r="B21" s="70" t="s">
        <v>224</v>
      </c>
      <c r="C21" s="125">
        <f t="shared" ref="C21:J21" si="59">C10*1000/C16</f>
        <v>32.625029074214844</v>
      </c>
      <c r="D21" s="125">
        <f t="shared" si="59"/>
        <v>32.659875527424745</v>
      </c>
      <c r="E21" s="125">
        <f t="shared" si="59"/>
        <v>30.923025897629671</v>
      </c>
      <c r="F21" s="125">
        <f t="shared" si="59"/>
        <v>30.489643754865519</v>
      </c>
      <c r="G21" s="125">
        <f t="shared" ref="G21" si="60">G10*1000/G16</f>
        <v>31.716661604877192</v>
      </c>
      <c r="H21" s="125">
        <f t="shared" si="59"/>
        <v>33.29409693708341</v>
      </c>
      <c r="I21" s="125">
        <f t="shared" si="59"/>
        <v>31.990520927386292</v>
      </c>
      <c r="J21" s="125">
        <f t="shared" si="59"/>
        <v>29.634190591322291</v>
      </c>
      <c r="K21" s="125">
        <f t="shared" ref="K21:L21" si="61">K10*1000/K16</f>
        <v>33.383751041616541</v>
      </c>
      <c r="L21" s="125">
        <f t="shared" si="61"/>
        <v>32.124896385701852</v>
      </c>
      <c r="M21" s="125">
        <f t="shared" ref="M21:N21" si="62">M10*1000/M16</f>
        <v>34.076214007722776</v>
      </c>
      <c r="N21" s="125">
        <f t="shared" si="62"/>
        <v>34.295501036068643</v>
      </c>
      <c r="O21" s="125">
        <f t="shared" ref="O21:Q21" si="63">O10*1000/O16</f>
        <v>37.611116659463043</v>
      </c>
      <c r="P21" s="125">
        <f t="shared" si="63"/>
        <v>29.646014869002528</v>
      </c>
      <c r="Q21" s="125">
        <f t="shared" si="63"/>
        <v>33.418455381918946</v>
      </c>
      <c r="R21" s="125">
        <f t="shared" ref="R21:S21" si="64">R10*1000/R16</f>
        <v>28.21125964670372</v>
      </c>
      <c r="S21" s="125">
        <f t="shared" si="64"/>
        <v>28.277035648561125</v>
      </c>
      <c r="T21" s="125">
        <f t="shared" ref="T21:V21" si="65">T10*1000/T16</f>
        <v>27.510196868493942</v>
      </c>
      <c r="U21" s="125">
        <f t="shared" ref="U21" si="66">U10*1000/U16</f>
        <v>27.144458151602901</v>
      </c>
      <c r="V21" s="125">
        <f t="shared" si="65"/>
        <v>27.792139303132284</v>
      </c>
      <c r="W21" s="125">
        <f t="shared" ref="W21:X21" si="67">W10*1000/W16</f>
        <v>27.59643449378267</v>
      </c>
      <c r="X21" s="125">
        <f t="shared" si="67"/>
        <v>27.918849025992806</v>
      </c>
      <c r="Y21" s="125">
        <f t="shared" ref="Y21:AA21" si="68">Y10*1000/Y16</f>
        <v>31.371542002349546</v>
      </c>
      <c r="Z21" s="125">
        <f t="shared" ref="Z21" si="69">Z10*1000/Z16</f>
        <v>28.131104095494567</v>
      </c>
      <c r="AA21" s="125">
        <f t="shared" si="68"/>
        <v>28.704388517422021</v>
      </c>
    </row>
    <row r="25" spans="2:31" x14ac:dyDescent="0.2">
      <c r="X25" s="125"/>
      <c r="Y25" s="125"/>
      <c r="Z25" s="125"/>
      <c r="AA25" s="125"/>
    </row>
    <row r="26" spans="2:31" x14ac:dyDescent="0.2">
      <c r="X26" s="125"/>
      <c r="Y26" s="125"/>
      <c r="Z26" s="125"/>
      <c r="AA26" s="125"/>
    </row>
  </sheetData>
  <pageMargins left="0.7" right="0.7" top="0.75" bottom="0.75" header="0.3" footer="0.3"/>
  <pageSetup orientation="portrait" horizontalDpi="1200" verticalDpi="1200" r:id="rId1"/>
  <ignoredErrors>
    <ignoredError sqref="Q7:Q8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5CB5-EFF0-4B5A-BFD5-0FFBD0D9E94D}">
  <dimension ref="A1:AF27"/>
  <sheetViews>
    <sheetView showGridLines="0" workbookViewId="0">
      <pane xSplit="2" ySplit="5" topLeftCell="Q6" activePane="bottomRight" state="frozen"/>
      <selection pane="topRight" activeCell="B7" sqref="B7"/>
      <selection pane="bottomLeft" activeCell="B7" sqref="B7"/>
      <selection pane="bottomRight" activeCell="AI9" sqref="AI9"/>
    </sheetView>
  </sheetViews>
  <sheetFormatPr defaultColWidth="9.140625" defaultRowHeight="12.75" x14ac:dyDescent="0.2"/>
  <cols>
    <col min="1" max="1" width="6.28515625" style="20" customWidth="1"/>
    <col min="2" max="2" width="35.85546875" style="20" customWidth="1"/>
    <col min="3" max="3" width="14.7109375" style="20" customWidth="1"/>
    <col min="4" max="4" width="14.140625" style="20" customWidth="1"/>
    <col min="5" max="5" width="14" style="20" customWidth="1"/>
    <col min="6" max="7" width="14.140625" style="20" customWidth="1"/>
    <col min="8" max="8" width="13.85546875" style="20" customWidth="1"/>
    <col min="9" max="11" width="12.7109375" style="20" bestFit="1" customWidth="1"/>
    <col min="12" max="12" width="12.7109375" style="20" customWidth="1"/>
    <col min="13" max="16" width="12.7109375" style="20" bestFit="1" customWidth="1"/>
    <col min="17" max="17" width="12.7109375" style="20" customWidth="1"/>
    <col min="18" max="27" width="12.7109375" style="20" bestFit="1" customWidth="1"/>
    <col min="28" max="28" width="13.140625" style="20" customWidth="1"/>
    <col min="29" max="29" width="6.5703125" style="20" customWidth="1"/>
    <col min="30" max="30" width="13.28515625" style="20" customWidth="1"/>
    <col min="31" max="16384" width="9.140625" style="20"/>
  </cols>
  <sheetData>
    <row r="1" spans="1:32" x14ac:dyDescent="0.2">
      <c r="A1" s="154">
        <f>'2025 IR Data Book'!$A$5</f>
        <v>1</v>
      </c>
    </row>
    <row r="2" spans="1:32" x14ac:dyDescent="0.2">
      <c r="A2" s="154"/>
    </row>
    <row r="3" spans="1:32" ht="15" x14ac:dyDescent="0.25">
      <c r="B3" s="62"/>
    </row>
    <row r="4" spans="1:32" ht="14.25" customHeight="1" x14ac:dyDescent="0.2">
      <c r="B4" s="64" t="s">
        <v>325</v>
      </c>
      <c r="C4" s="64"/>
      <c r="D4" s="65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167" t="s">
        <v>17</v>
      </c>
      <c r="AC4" s="167"/>
      <c r="AD4" s="167" t="s">
        <v>17</v>
      </c>
      <c r="AE4" s="167"/>
    </row>
    <row r="5" spans="1:32" ht="25.5" customHeight="1" x14ac:dyDescent="0.2">
      <c r="B5" s="66"/>
      <c r="C5" s="194" t="s">
        <v>18</v>
      </c>
      <c r="D5" s="194" t="s">
        <v>19</v>
      </c>
      <c r="E5" s="194" t="s">
        <v>20</v>
      </c>
      <c r="F5" s="194" t="s">
        <v>21</v>
      </c>
      <c r="G5" s="194">
        <v>2021</v>
      </c>
      <c r="H5" s="194" t="s">
        <v>23</v>
      </c>
      <c r="I5" s="194" t="s">
        <v>24</v>
      </c>
      <c r="J5" s="194" t="s">
        <v>25</v>
      </c>
      <c r="K5" s="194" t="s">
        <v>26</v>
      </c>
      <c r="L5" s="194">
        <v>2022</v>
      </c>
      <c r="M5" s="194" t="s">
        <v>28</v>
      </c>
      <c r="N5" s="194" t="s">
        <v>29</v>
      </c>
      <c r="O5" s="194" t="s">
        <v>30</v>
      </c>
      <c r="P5" s="194" t="s">
        <v>31</v>
      </c>
      <c r="Q5" s="194">
        <v>2023</v>
      </c>
      <c r="R5" s="194" t="s">
        <v>33</v>
      </c>
      <c r="S5" s="194" t="s">
        <v>34</v>
      </c>
      <c r="T5" s="194" t="s">
        <v>35</v>
      </c>
      <c r="U5" s="194" t="s">
        <v>318</v>
      </c>
      <c r="V5" s="194">
        <v>2024</v>
      </c>
      <c r="W5" s="194" t="s">
        <v>323</v>
      </c>
      <c r="X5" s="194" t="s">
        <v>337</v>
      </c>
      <c r="Y5" s="194" t="s">
        <v>343</v>
      </c>
      <c r="Z5" s="194" t="s">
        <v>349</v>
      </c>
      <c r="AA5" s="194">
        <v>2025</v>
      </c>
      <c r="AB5" s="67" t="s">
        <v>350</v>
      </c>
      <c r="AC5" s="194" t="s">
        <v>36</v>
      </c>
      <c r="AD5" s="256" t="s">
        <v>351</v>
      </c>
      <c r="AE5" s="194" t="s">
        <v>36</v>
      </c>
    </row>
    <row r="6" spans="1:32" x14ac:dyDescent="0.2">
      <c r="B6" s="68"/>
      <c r="C6" s="68"/>
      <c r="D6" s="69"/>
      <c r="E6" s="68"/>
      <c r="F6" s="68"/>
      <c r="G6" s="68"/>
      <c r="H6" s="6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</row>
    <row r="7" spans="1:32" ht="15" x14ac:dyDescent="0.25">
      <c r="B7" s="172" t="s">
        <v>203</v>
      </c>
      <c r="C7" s="176">
        <f>355617.86422929*(((('2025 IR Data Book'!$A$5))))</f>
        <v>355617.86422928999</v>
      </c>
      <c r="D7" s="176">
        <f>367225.963071906*(((('2025 IR Data Book'!$A$5))))</f>
        <v>367225.96307190601</v>
      </c>
      <c r="E7" s="176">
        <f>460774.931293178*(((('2025 IR Data Book'!$A$5))))</f>
        <v>460774.931293178</v>
      </c>
      <c r="F7" s="176">
        <f>423957.217825905*(((('2025 IR Data Book'!$A$5))))</f>
        <v>423957.21782590501</v>
      </c>
      <c r="G7" s="176">
        <f>SUM(C7:F7)</f>
        <v>1607575.9764202791</v>
      </c>
      <c r="H7" s="176">
        <f>376640.582563042*((('2025 IR Data Book'!$A$5)))</f>
        <v>376640.582563042</v>
      </c>
      <c r="I7" s="176">
        <f>372494.023368405*((('2025 IR Data Book'!$A$5)))</f>
        <v>372494.023368405</v>
      </c>
      <c r="J7" s="176">
        <f>(416535.445403061-23294.0574489905-23421.7676629592)*(((('2025 IR Data Book'!$A$5))))</f>
        <v>369819.62029111129</v>
      </c>
      <c r="K7" s="176">
        <f>(L7-H7-I7-J7)</f>
        <v>377728.43421603367</v>
      </c>
      <c r="L7" s="176">
        <f>'[17]Sum Per Produc-22 Vs 21 Express'!$M$5*3.6726*(((('2025 IR Data Book'!$A$5))))</f>
        <v>1496682.6604385918</v>
      </c>
      <c r="M7" s="176">
        <f>361652.200640611*((('2025 IR Data Book'!$A$5)))</f>
        <v>361652.200640611</v>
      </c>
      <c r="N7" s="176">
        <f>351385.075475396*((('2025 IR Data Book'!$A$5)))</f>
        <v>351385.07547539601</v>
      </c>
      <c r="O7" s="176">
        <f>352596.858050362*(((('2025 IR Data Book'!$A$5))))</f>
        <v>352596.85805036197</v>
      </c>
      <c r="P7" s="176">
        <f>'[18]Sum Per Produc-23 Vs 22 Express'!$M$5*3.6726*(((('2025 IR Data Book'!$A$5))))</f>
        <v>361725.5540561105</v>
      </c>
      <c r="Q7" s="176">
        <f>SUM(M7:P7)</f>
        <v>1427359.6882224795</v>
      </c>
      <c r="R7" s="176">
        <f>'[19]Sum Per Produc-24 Vs 23 Express'!$M$5*3.6726*(((('2025 IR Data Book'!$A$5))))</f>
        <v>380204.39819716167</v>
      </c>
      <c r="S7" s="176">
        <f>'[20]Sum Per Produc-24 Vs 23 Express'!$M$5*3.6726*(((('2025 IR Data Book'!$A$5))))</f>
        <v>376074.16766073165</v>
      </c>
      <c r="T7" s="176">
        <f>'[21]Sum Per Produc-24 Vs 23 Express'!$M$5*3.6726*(((('2025 IR Data Book'!$A$5))))</f>
        <v>448633.29880931566</v>
      </c>
      <c r="U7" s="176">
        <f>'[22]Sum Per Produc-24 Vs 23 Express'!$M$5*3.6726*(((('2025 IR Data Book'!$A$5))))</f>
        <v>480687.50497375446</v>
      </c>
      <c r="V7" s="176">
        <f>'[23]Sum Per Produc-24 Vs 23 Express'!$M$5*3.6726*(((('2025 IR Data Book'!$A$5))))</f>
        <v>1685599.3696409636</v>
      </c>
      <c r="W7" s="176">
        <f>'[24]Sum Per Produc-25 Vs 24 Express'!$M$5*3.6726*(((('2025 IR Data Book'!$A$5))))</f>
        <v>430758.27031709487</v>
      </c>
      <c r="X7" s="176">
        <f>'[25]Sum Per Produc-25 Vs 24 Express'!$M$5*3.6726*(((('2025 IR Data Book'!$A$5))))</f>
        <v>422016.03698942758</v>
      </c>
      <c r="Y7" s="176">
        <f>'[26]Sum Per Produc-25 Vs 24 Express'!$M$5*3.6726*(((('2025 IR Data Book'!$A$5))))</f>
        <v>470108.51002329076</v>
      </c>
      <c r="Z7" s="176">
        <f>'[27]Sum Per Produc-25 Vs 24 Express'!$M$5*3.6726*(((('2025 IR Data Book'!$A$5))))</f>
        <v>520361.58210502652</v>
      </c>
      <c r="AA7" s="176">
        <f>'[28]Sum Per Produc-25 Vs 24 Express'!$M$5*3.6726*(((('2025 IR Data Book'!$A$5))))</f>
        <v>1843244.3994348391</v>
      </c>
      <c r="AB7" s="177">
        <f>Z7-U7</f>
        <v>39674.077131272061</v>
      </c>
      <c r="AC7" s="178">
        <f>AB7/U7</f>
        <v>8.2536110717998101E-2</v>
      </c>
      <c r="AD7" s="177">
        <f>(AA7)-(V7)</f>
        <v>157645.02979387552</v>
      </c>
      <c r="AE7" s="178">
        <f>AD7/(V7)</f>
        <v>9.3524613637850529E-2</v>
      </c>
      <c r="AF7" s="230"/>
    </row>
    <row r="8" spans="1:32" ht="15" x14ac:dyDescent="0.25">
      <c r="B8" s="173" t="s">
        <v>206</v>
      </c>
      <c r="C8" s="179">
        <f>272903.55434018*(((('2025 IR Data Book'!$A$5))))</f>
        <v>272903.55434018001</v>
      </c>
      <c r="D8" s="179">
        <f>277079.111766491*(((('2025 IR Data Book'!$A$5))))</f>
        <v>277079.11176649103</v>
      </c>
      <c r="E8" s="179">
        <f>333461.818852503*(((('2025 IR Data Book'!$A$5))))</f>
        <v>333461.81885250303</v>
      </c>
      <c r="F8" s="179">
        <f>338998.431841459*(((('2025 IR Data Book'!$A$5))))</f>
        <v>338998.43184145901</v>
      </c>
      <c r="G8" s="179">
        <f>SUM(C8:F8)</f>
        <v>1222442.9168006331</v>
      </c>
      <c r="H8" s="179">
        <f>283874.078015839*((('2025 IR Data Book'!$A$5)))</f>
        <v>283874.07801583898</v>
      </c>
      <c r="I8" s="179">
        <f>279463.202311642*((('2025 IR Data Book'!$A$5)))</f>
        <v>279463.202311642</v>
      </c>
      <c r="J8" s="179">
        <f>(300465.045166131-10873.2471289898-8674.60335571517)*(((('2025 IR Data Book'!$A$5))))</f>
        <v>280917.19468142604</v>
      </c>
      <c r="K8" s="179">
        <f>(L8-H8-I8-J8)</f>
        <v>282138.97097500181</v>
      </c>
      <c r="L8" s="179">
        <f>'[17]Sum Per Produc-22 Vs 21 Express'!$M$9*3.6726*(((('2025 IR Data Book'!$A$5))))</f>
        <v>1126393.4459839088</v>
      </c>
      <c r="M8" s="179">
        <f>274015.605019054*((('2025 IR Data Book'!$A$5)))</f>
        <v>274015.60501905403</v>
      </c>
      <c r="N8" s="179">
        <f>276794.093641297*((('2025 IR Data Book'!$A$5)))</f>
        <v>276794.09364129702</v>
      </c>
      <c r="O8" s="179">
        <f>280432.682259024*(((('2025 IR Data Book'!$A$5))))</f>
        <v>280432.682259024</v>
      </c>
      <c r="P8" s="179">
        <f>'[18]Sum Per Produc-23 Vs 22 Express'!$M$9*3.6726*(((('2025 IR Data Book'!$A$5))))</f>
        <v>283291.13808395661</v>
      </c>
      <c r="Q8" s="179">
        <f>SUM(M8:P8)</f>
        <v>1114533.5190033317</v>
      </c>
      <c r="R8" s="179">
        <f>'[19]Sum Per Produc-24 Vs 23 Express'!$M$9*3.6726*(((('2025 IR Data Book'!$A$5))))</f>
        <v>285399.59255803551</v>
      </c>
      <c r="S8" s="179">
        <f>'[20]Sum Per Produc-24 Vs 23 Express'!$M$9*3.6726*(((('2025 IR Data Book'!$A$5))))</f>
        <v>294638.74244819157</v>
      </c>
      <c r="T8" s="179">
        <f>'[21]Sum Per Produc-24 Vs 23 Express'!$M$9*3.6726*(((('2025 IR Data Book'!$A$5))))</f>
        <v>340040.09711769677</v>
      </c>
      <c r="U8" s="179">
        <f>'[22]Sum Per Produc-24 Vs 23 Express'!$M$9*3.6726*(((('2025 IR Data Book'!$A$5))))</f>
        <v>367125.3282488418</v>
      </c>
      <c r="V8" s="179">
        <f>'[23]Sum Per Produc-24 Vs 23 Express'!$M$9*3.6726*(((('2025 IR Data Book'!$A$5))))</f>
        <v>1287203.7603727658</v>
      </c>
      <c r="W8" s="179">
        <f>'[24]Sum Per Produc-25 Vs 24 Express'!$M$9*3.6726*(((('2025 IR Data Book'!$A$5))))</f>
        <v>335347.61594423302</v>
      </c>
      <c r="X8" s="179">
        <f>'[25]Sum Per Produc-25 Vs 24 Express'!$M$9*3.6726*(((('2025 IR Data Book'!$A$5))))</f>
        <v>333034.73097467201</v>
      </c>
      <c r="Y8" s="179">
        <f>'[26]Sum Per Produc-25 Vs 24 Express'!$M$9*3.6726*(((('2025 IR Data Book'!$A$5))))</f>
        <v>371508.42925636889</v>
      </c>
      <c r="Z8" s="179">
        <f>'[27]Sum Per Produc-25 Vs 24 Express'!$M$9*3.6726*(((('2025 IR Data Book'!$A$5))))</f>
        <v>397272.7459077508</v>
      </c>
      <c r="AA8" s="179">
        <f>'[28]Sum Per Produc-25 Vs 24 Express'!$M$9*3.6726*(((('2025 IR Data Book'!$A$5))))</f>
        <v>1437163.5220830245</v>
      </c>
      <c r="AB8" s="180">
        <f>Z8-U8</f>
        <v>30147.417658908991</v>
      </c>
      <c r="AC8" s="181">
        <f>AB8/U8</f>
        <v>8.2117509578295084E-2</v>
      </c>
      <c r="AD8" s="180">
        <f t="shared" ref="AD8:AD9" si="0">(AA8)-(V8)</f>
        <v>149959.76171025867</v>
      </c>
      <c r="AE8" s="181">
        <f t="shared" ref="AE8:AE9" si="1">AD8/(V8)</f>
        <v>0.11650040679405047</v>
      </c>
      <c r="AF8" s="230"/>
    </row>
    <row r="9" spans="1:32" ht="15" x14ac:dyDescent="0.25">
      <c r="B9" s="172" t="s">
        <v>207</v>
      </c>
      <c r="C9" s="176">
        <f t="shared" ref="C9:X9" si="2">(C7-C8)</f>
        <v>82714.30988910998</v>
      </c>
      <c r="D9" s="176">
        <f t="shared" si="2"/>
        <v>90146.851305414981</v>
      </c>
      <c r="E9" s="176">
        <f t="shared" si="2"/>
        <v>127313.11244067497</v>
      </c>
      <c r="F9" s="176">
        <f t="shared" si="2"/>
        <v>84958.785984446004</v>
      </c>
      <c r="G9" s="176">
        <f t="shared" si="2"/>
        <v>385133.05961964605</v>
      </c>
      <c r="H9" s="176">
        <f t="shared" si="2"/>
        <v>92766.504547203018</v>
      </c>
      <c r="I9" s="176">
        <f t="shared" si="2"/>
        <v>93030.821056763001</v>
      </c>
      <c r="J9" s="176">
        <f t="shared" si="2"/>
        <v>88902.425609685248</v>
      </c>
      <c r="K9" s="176">
        <f t="shared" si="2"/>
        <v>95589.463241031859</v>
      </c>
      <c r="L9" s="176">
        <f t="shared" si="2"/>
        <v>370289.21445468301</v>
      </c>
      <c r="M9" s="176">
        <f t="shared" si="2"/>
        <v>87636.595621556975</v>
      </c>
      <c r="N9" s="176">
        <f t="shared" si="2"/>
        <v>74590.981834098988</v>
      </c>
      <c r="O9" s="176">
        <f t="shared" si="2"/>
        <v>72164.17579133797</v>
      </c>
      <c r="P9" s="176">
        <f t="shared" si="2"/>
        <v>78434.415972153889</v>
      </c>
      <c r="Q9" s="176">
        <f t="shared" si="2"/>
        <v>312826.16921914788</v>
      </c>
      <c r="R9" s="176">
        <f t="shared" si="2"/>
        <v>94804.805639126163</v>
      </c>
      <c r="S9" s="176">
        <f t="shared" si="2"/>
        <v>81435.425212540082</v>
      </c>
      <c r="T9" s="176">
        <f t="shared" si="2"/>
        <v>108593.20169161889</v>
      </c>
      <c r="U9" s="176">
        <f t="shared" si="2"/>
        <v>113562.17672491266</v>
      </c>
      <c r="V9" s="176">
        <f t="shared" si="2"/>
        <v>398395.60926819779</v>
      </c>
      <c r="W9" s="176">
        <f t="shared" si="2"/>
        <v>95410.654372861842</v>
      </c>
      <c r="X9" s="176">
        <f t="shared" si="2"/>
        <v>88981.306014755566</v>
      </c>
      <c r="Y9" s="176">
        <f t="shared" ref="Y9:AA9" si="3">(Y7-Y8)</f>
        <v>98600.080766921863</v>
      </c>
      <c r="Z9" s="176">
        <f t="shared" ref="Z9" si="4">(Z7-Z8)</f>
        <v>123088.83619727573</v>
      </c>
      <c r="AA9" s="176">
        <f t="shared" si="3"/>
        <v>406080.87735181465</v>
      </c>
      <c r="AB9" s="177">
        <f>Z9-U9</f>
        <v>9526.6594723630697</v>
      </c>
      <c r="AC9" s="178">
        <f>AB9/U9</f>
        <v>8.3889370097580754E-2</v>
      </c>
      <c r="AD9" s="177">
        <f t="shared" si="0"/>
        <v>7685.2680836168583</v>
      </c>
      <c r="AE9" s="178">
        <f t="shared" si="1"/>
        <v>1.9290544134594557E-2</v>
      </c>
      <c r="AF9" s="230"/>
    </row>
    <row r="10" spans="1:32" ht="15" x14ac:dyDescent="0.25">
      <c r="B10" s="174" t="s">
        <v>208</v>
      </c>
      <c r="C10" s="182">
        <f t="shared" ref="C10:X10" si="5">C9/C7</f>
        <v>0.23259323619293398</v>
      </c>
      <c r="D10" s="182">
        <f t="shared" si="5"/>
        <v>0.24548060423430207</v>
      </c>
      <c r="E10" s="182">
        <f t="shared" si="5"/>
        <v>0.27630216792256274</v>
      </c>
      <c r="F10" s="182">
        <f t="shared" si="5"/>
        <v>0.20039471534444714</v>
      </c>
      <c r="G10" s="182">
        <f t="shared" si="5"/>
        <v>0.23957378392606571</v>
      </c>
      <c r="H10" s="182">
        <f t="shared" si="5"/>
        <v>0.24629981165578668</v>
      </c>
      <c r="I10" s="182">
        <f t="shared" si="5"/>
        <v>0.24975117779206196</v>
      </c>
      <c r="J10" s="182">
        <f t="shared" si="5"/>
        <v>0.24039402111684566</v>
      </c>
      <c r="K10" s="182">
        <f t="shared" si="5"/>
        <v>0.25306398613973952</v>
      </c>
      <c r="L10" s="182">
        <f t="shared" si="5"/>
        <v>0.24740663083928058</v>
      </c>
      <c r="M10" s="182">
        <f t="shared" si="5"/>
        <v>0.24232286010239198</v>
      </c>
      <c r="N10" s="182">
        <f t="shared" si="5"/>
        <v>0.21227703462699243</v>
      </c>
      <c r="O10" s="182">
        <f t="shared" si="5"/>
        <v>0.20466482937584954</v>
      </c>
      <c r="P10" s="182">
        <f t="shared" si="5"/>
        <v>0.21683404750549423</v>
      </c>
      <c r="Q10" s="182">
        <f t="shared" si="5"/>
        <v>0.21916421754121188</v>
      </c>
      <c r="R10" s="182">
        <f t="shared" si="5"/>
        <v>0.24935220657274845</v>
      </c>
      <c r="S10" s="182">
        <f t="shared" si="5"/>
        <v>0.21654086405106543</v>
      </c>
      <c r="T10" s="182">
        <f t="shared" si="5"/>
        <v>0.24205336960013454</v>
      </c>
      <c r="U10" s="182">
        <f t="shared" si="5"/>
        <v>0.2362494875566053</v>
      </c>
      <c r="V10" s="182">
        <f t="shared" si="5"/>
        <v>0.23635249065918726</v>
      </c>
      <c r="W10" s="182">
        <f t="shared" si="5"/>
        <v>0.22149465476919811</v>
      </c>
      <c r="X10" s="182">
        <f t="shared" si="5"/>
        <v>0.21084816266587694</v>
      </c>
      <c r="Y10" s="182">
        <f t="shared" ref="Y10:AA10" si="6">Y9/Y7</f>
        <v>0.20973898294680282</v>
      </c>
      <c r="Z10" s="182">
        <f t="shared" ref="Z10" si="7">Z9/Z7</f>
        <v>0.23654481889178408</v>
      </c>
      <c r="AA10" s="182">
        <f t="shared" si="6"/>
        <v>0.22030766917090536</v>
      </c>
      <c r="AB10" s="182"/>
      <c r="AC10" s="182"/>
      <c r="AD10" s="182"/>
      <c r="AE10" s="182"/>
    </row>
    <row r="12" spans="1:32" x14ac:dyDescent="0.2">
      <c r="B12" s="170" t="s">
        <v>214</v>
      </c>
      <c r="C12" s="171"/>
      <c r="D12" s="171"/>
      <c r="E12" s="171"/>
      <c r="F12" s="171"/>
      <c r="G12" s="171"/>
      <c r="H12" s="171"/>
      <c r="I12" s="171"/>
      <c r="J12" s="171"/>
      <c r="K12" s="248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</row>
    <row r="13" spans="1:32" x14ac:dyDescent="0.2">
      <c r="B13" s="70"/>
      <c r="C13" s="81"/>
      <c r="D13" s="81"/>
      <c r="E13" s="81"/>
      <c r="F13" s="81"/>
      <c r="G13" s="81"/>
      <c r="H13" s="81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spans="1:32" x14ac:dyDescent="0.2">
      <c r="B14" s="70" t="s">
        <v>215</v>
      </c>
      <c r="C14" s="81">
        <v>25388838</v>
      </c>
      <c r="D14" s="81">
        <v>25800486</v>
      </c>
      <c r="E14" s="81">
        <v>27600108</v>
      </c>
      <c r="F14" s="81">
        <v>29436845</v>
      </c>
      <c r="G14" s="81">
        <f>SUM(C14:F14)</f>
        <v>108226277</v>
      </c>
      <c r="H14" s="81">
        <v>25008344</v>
      </c>
      <c r="I14" s="28">
        <v>24101160</v>
      </c>
      <c r="J14" s="28">
        <v>24481680</v>
      </c>
      <c r="K14" s="28">
        <v>26477337</v>
      </c>
      <c r="L14" s="28">
        <f>SUM(H14:K14)</f>
        <v>100068521</v>
      </c>
      <c r="M14" s="28">
        <v>24620104</v>
      </c>
      <c r="N14" s="28">
        <v>24232178</v>
      </c>
      <c r="O14" s="28">
        <v>24542273</v>
      </c>
      <c r="P14" s="28">
        <v>26596092</v>
      </c>
      <c r="Q14" s="28">
        <f>SUM(M14:P14)</f>
        <v>99990647</v>
      </c>
      <c r="R14" s="28">
        <v>26228288</v>
      </c>
      <c r="S14" s="28">
        <f>'Aramex Courier'!S19</f>
        <v>25108777</v>
      </c>
      <c r="T14" s="28">
        <f>'Aramex Courier'!T19</f>
        <v>28887967</v>
      </c>
      <c r="U14" s="28">
        <f>'Aramex Courier'!U19</f>
        <v>31031070</v>
      </c>
      <c r="V14" s="28">
        <f>'Aramex Courier'!V19</f>
        <v>111256102</v>
      </c>
      <c r="W14" s="28">
        <f>'Aramex Courier'!W19</f>
        <v>28344711</v>
      </c>
      <c r="X14" s="28">
        <f>'Aramex Courier'!X19</f>
        <v>27579842</v>
      </c>
      <c r="Y14" s="28">
        <f>'Aramex Courier'!Y19</f>
        <v>30509791</v>
      </c>
      <c r="Z14" s="28">
        <f>'Aramex Courier'!Z19</f>
        <v>33400622</v>
      </c>
      <c r="AA14" s="28">
        <f>'Aramex Courier'!AA19</f>
        <v>119834966</v>
      </c>
      <c r="AB14" s="201"/>
      <c r="AD14" s="28"/>
    </row>
    <row r="15" spans="1:32" ht="13.5" thickBot="1" x14ac:dyDescent="0.25">
      <c r="B15" s="82" t="s">
        <v>348</v>
      </c>
      <c r="C15" s="83">
        <f t="shared" ref="C15:J15" si="8">SUM(C13:C14)</f>
        <v>25388838</v>
      </c>
      <c r="D15" s="83">
        <f t="shared" si="8"/>
        <v>25800486</v>
      </c>
      <c r="E15" s="83">
        <f t="shared" si="8"/>
        <v>27600108</v>
      </c>
      <c r="F15" s="83">
        <f t="shared" si="8"/>
        <v>29436845</v>
      </c>
      <c r="G15" s="83">
        <f t="shared" si="8"/>
        <v>108226277</v>
      </c>
      <c r="H15" s="83">
        <f t="shared" si="8"/>
        <v>25008344</v>
      </c>
      <c r="I15" s="83">
        <f t="shared" si="8"/>
        <v>24101160</v>
      </c>
      <c r="J15" s="83">
        <f t="shared" si="8"/>
        <v>24481680</v>
      </c>
      <c r="K15" s="83">
        <f t="shared" ref="K15:L15" si="9">SUM(K13:K14)</f>
        <v>26477337</v>
      </c>
      <c r="L15" s="83">
        <f t="shared" si="9"/>
        <v>100068521</v>
      </c>
      <c r="M15" s="83">
        <f t="shared" ref="M15:N15" si="10">SUM(M13:M14)</f>
        <v>24620104</v>
      </c>
      <c r="N15" s="83">
        <f t="shared" si="10"/>
        <v>24232178</v>
      </c>
      <c r="O15" s="83">
        <f t="shared" ref="O15:Q15" si="11">SUM(O13:O14)</f>
        <v>24542273</v>
      </c>
      <c r="P15" s="83">
        <f t="shared" si="11"/>
        <v>26596092</v>
      </c>
      <c r="Q15" s="83">
        <f t="shared" si="11"/>
        <v>99990647</v>
      </c>
      <c r="R15" s="83">
        <f t="shared" ref="R15:S15" si="12">SUM(R13:R14)</f>
        <v>26228288</v>
      </c>
      <c r="S15" s="83">
        <f t="shared" si="12"/>
        <v>25108777</v>
      </c>
      <c r="T15" s="83">
        <f t="shared" ref="T15:V15" si="13">SUM(T13:T14)</f>
        <v>28887967</v>
      </c>
      <c r="U15" s="83">
        <f t="shared" ref="U15" si="14">SUM(U13:U14)</f>
        <v>31031070</v>
      </c>
      <c r="V15" s="83">
        <f t="shared" si="13"/>
        <v>111256102</v>
      </c>
      <c r="W15" s="83">
        <f t="shared" ref="W15:X15" si="15">SUM(W13:W14)</f>
        <v>28344711</v>
      </c>
      <c r="X15" s="83">
        <f t="shared" si="15"/>
        <v>27579842</v>
      </c>
      <c r="Y15" s="83">
        <f t="shared" ref="Y15:AA15" si="16">SUM(Y13:Y14)</f>
        <v>30509791</v>
      </c>
      <c r="Z15" s="83">
        <f t="shared" ref="Z15" si="17">SUM(Z13:Z14)</f>
        <v>33400622</v>
      </c>
      <c r="AA15" s="83">
        <f t="shared" si="16"/>
        <v>119834966</v>
      </c>
      <c r="AB15" s="139"/>
      <c r="AD15" s="139"/>
    </row>
    <row r="16" spans="1:32" ht="13.5" thickTop="1" x14ac:dyDescent="0.2"/>
    <row r="17" spans="2:31" x14ac:dyDescent="0.2">
      <c r="B17" s="170" t="s">
        <v>218</v>
      </c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</row>
    <row r="18" spans="2:31" x14ac:dyDescent="0.2">
      <c r="B18" s="70" t="s">
        <v>225</v>
      </c>
      <c r="C18" s="80">
        <f t="shared" ref="C18:X18" si="18">(C7*1000)/C14</f>
        <v>14.006858613587987</v>
      </c>
      <c r="D18" s="80">
        <f t="shared" si="18"/>
        <v>14.233296344569093</v>
      </c>
      <c r="E18" s="80">
        <f t="shared" si="18"/>
        <v>16.694678560430923</v>
      </c>
      <c r="F18" s="80">
        <f t="shared" si="18"/>
        <v>14.402264163360748</v>
      </c>
      <c r="G18" s="80">
        <f t="shared" si="18"/>
        <v>14.853841608358005</v>
      </c>
      <c r="H18" s="201">
        <f t="shared" si="18"/>
        <v>15.060596677774505</v>
      </c>
      <c r="I18" s="201">
        <f t="shared" si="18"/>
        <v>15.45543962898072</v>
      </c>
      <c r="J18" s="201">
        <f t="shared" si="18"/>
        <v>15.105973948320184</v>
      </c>
      <c r="K18" s="201">
        <f t="shared" si="18"/>
        <v>14.266103657480119</v>
      </c>
      <c r="L18" s="201">
        <f t="shared" si="18"/>
        <v>14.956578207432404</v>
      </c>
      <c r="M18" s="201">
        <f t="shared" si="18"/>
        <v>14.68930434414944</v>
      </c>
      <c r="N18" s="201">
        <f t="shared" si="18"/>
        <v>14.50076321969061</v>
      </c>
      <c r="O18" s="201">
        <f t="shared" si="18"/>
        <v>14.366919398637689</v>
      </c>
      <c r="P18" s="201">
        <f t="shared" si="18"/>
        <v>13.600703218206288</v>
      </c>
      <c r="Q18" s="201">
        <f t="shared" si="18"/>
        <v>14.27493201661631</v>
      </c>
      <c r="R18" s="201">
        <f t="shared" si="18"/>
        <v>14.495967033653194</v>
      </c>
      <c r="S18" s="201">
        <f t="shared" si="18"/>
        <v>14.977797112966979</v>
      </c>
      <c r="T18" s="201">
        <f t="shared" si="18"/>
        <v>15.530109779248768</v>
      </c>
      <c r="U18" s="201">
        <f t="shared" si="18"/>
        <v>15.490523045894147</v>
      </c>
      <c r="V18" s="201">
        <f t="shared" si="18"/>
        <v>15.150624004793585</v>
      </c>
      <c r="W18" s="201">
        <f t="shared" si="18"/>
        <v>15.197130438800201</v>
      </c>
      <c r="X18" s="201">
        <f t="shared" si="18"/>
        <v>15.301611843513374</v>
      </c>
      <c r="Y18" s="201">
        <f t="shared" ref="Y18:AA18" si="19">(Y7*1000)/Y14</f>
        <v>15.408447407040276</v>
      </c>
      <c r="Z18" s="201">
        <f t="shared" ref="Z18" si="20">(Z7*1000)/Z14</f>
        <v>15.579397955673596</v>
      </c>
      <c r="AA18" s="201">
        <f t="shared" si="19"/>
        <v>15.381523948818405</v>
      </c>
      <c r="AC18" s="125"/>
      <c r="AE18" s="125"/>
    </row>
    <row r="19" spans="2:31" x14ac:dyDescent="0.2">
      <c r="B19" s="70" t="s">
        <v>226</v>
      </c>
      <c r="C19" s="125">
        <f t="shared" ref="C19:X19" si="21">C8*1000/C15</f>
        <v>10.748958039756685</v>
      </c>
      <c r="D19" s="125">
        <f t="shared" si="21"/>
        <v>10.739298157658389</v>
      </c>
      <c r="E19" s="125">
        <f t="shared" si="21"/>
        <v>12.08190268141353</v>
      </c>
      <c r="F19" s="125">
        <f t="shared" si="21"/>
        <v>11.516126536028539</v>
      </c>
      <c r="G19" s="125">
        <f t="shared" si="21"/>
        <v>11.29525056840524</v>
      </c>
      <c r="H19" s="125">
        <f t="shared" si="21"/>
        <v>11.351174552614879</v>
      </c>
      <c r="I19" s="125">
        <f t="shared" si="21"/>
        <v>11.595425378348677</v>
      </c>
      <c r="J19" s="125">
        <f t="shared" si="21"/>
        <v>11.474588127997182</v>
      </c>
      <c r="K19" s="125">
        <f t="shared" si="21"/>
        <v>10.655866599235482</v>
      </c>
      <c r="L19" s="125">
        <f t="shared" si="21"/>
        <v>11.256221584247347</v>
      </c>
      <c r="M19" s="125">
        <f t="shared" si="21"/>
        <v>11.129750102560658</v>
      </c>
      <c r="N19" s="125">
        <f t="shared" si="21"/>
        <v>11.422584203586531</v>
      </c>
      <c r="O19" s="125">
        <f t="shared" si="21"/>
        <v>11.426516291258924</v>
      </c>
      <c r="P19" s="125">
        <f t="shared" si="21"/>
        <v>10.651607690481617</v>
      </c>
      <c r="Q19" s="125">
        <f t="shared" si="21"/>
        <v>11.146377710740602</v>
      </c>
      <c r="R19" s="125">
        <f t="shared" si="21"/>
        <v>10.881365667405952</v>
      </c>
      <c r="S19" s="125">
        <f t="shared" si="21"/>
        <v>11.734491984543556</v>
      </c>
      <c r="T19" s="125">
        <f t="shared" si="21"/>
        <v>11.770994376921601</v>
      </c>
      <c r="U19" s="125">
        <f t="shared" si="21"/>
        <v>11.83089491431787</v>
      </c>
      <c r="V19" s="125">
        <f t="shared" si="21"/>
        <v>11.569736286219751</v>
      </c>
      <c r="W19" s="125">
        <f t="shared" si="21"/>
        <v>11.831047278775676</v>
      </c>
      <c r="X19" s="125">
        <f t="shared" si="21"/>
        <v>12.075295100482156</v>
      </c>
      <c r="Y19" s="125">
        <f t="shared" ref="Y19:AA19" si="22">Y8*1000/Y15</f>
        <v>12.176695319098346</v>
      </c>
      <c r="Z19" s="125">
        <f t="shared" ref="Z19" si="23">Z8*1000/Z15</f>
        <v>11.894172087805753</v>
      </c>
      <c r="AA19" s="125">
        <f t="shared" si="22"/>
        <v>11.992856259357762</v>
      </c>
      <c r="AC19" s="125"/>
      <c r="AE19" s="125"/>
    </row>
    <row r="20" spans="2:31" x14ac:dyDescent="0.2">
      <c r="B20" s="70" t="s">
        <v>227</v>
      </c>
      <c r="C20" s="125">
        <f t="shared" ref="C20:J20" si="24">C9*1000/C15</f>
        <v>3.2579005738313027</v>
      </c>
      <c r="D20" s="125">
        <f t="shared" si="24"/>
        <v>3.4939981869107029</v>
      </c>
      <c r="E20" s="125">
        <f t="shared" si="24"/>
        <v>4.6127758790173932</v>
      </c>
      <c r="F20" s="125">
        <f t="shared" si="24"/>
        <v>2.886137627332209</v>
      </c>
      <c r="G20" s="125">
        <f t="shared" ref="G20" si="25">G9*1000/G15</f>
        <v>3.5585910399527654</v>
      </c>
      <c r="H20" s="125">
        <f t="shared" si="24"/>
        <v>3.7094221251596275</v>
      </c>
      <c r="I20" s="125">
        <f t="shared" si="24"/>
        <v>3.8600142506320445</v>
      </c>
      <c r="J20" s="125">
        <f t="shared" si="24"/>
        <v>3.6313858203230023</v>
      </c>
      <c r="K20" s="125">
        <f t="shared" ref="K20:L20" si="26">K9*1000/K15</f>
        <v>3.6102370582446359</v>
      </c>
      <c r="L20" s="125">
        <f t="shared" si="26"/>
        <v>3.7003566231850575</v>
      </c>
      <c r="M20" s="125">
        <f t="shared" ref="M20:N20" si="27">M9*1000/M15</f>
        <v>3.5595542415887831</v>
      </c>
      <c r="N20" s="125">
        <f t="shared" si="27"/>
        <v>3.0781790161040825</v>
      </c>
      <c r="O20" s="125">
        <f t="shared" ref="O20:Q20" si="28">O9*1000/O15</f>
        <v>2.9404031073787649</v>
      </c>
      <c r="P20" s="125">
        <f t="shared" si="28"/>
        <v>2.9490955277246704</v>
      </c>
      <c r="Q20" s="125">
        <f t="shared" si="28"/>
        <v>3.1285543058757073</v>
      </c>
      <c r="R20" s="125">
        <f t="shared" ref="R20:S20" si="29">R9*1000/R15</f>
        <v>3.6146013662472427</v>
      </c>
      <c r="S20" s="125">
        <f t="shared" si="29"/>
        <v>3.2433051284234224</v>
      </c>
      <c r="T20" s="125">
        <f t="shared" ref="T20:V20" si="30">T9*1000/T15</f>
        <v>3.7591154023271658</v>
      </c>
      <c r="U20" s="125">
        <f t="shared" ref="U20" si="31">U9*1000/U15</f>
        <v>3.6596281315762771</v>
      </c>
      <c r="V20" s="125">
        <f t="shared" si="30"/>
        <v>3.5808877185738339</v>
      </c>
      <c r="W20" s="125">
        <f t="shared" ref="W20:X20" si="32">W9*1000/W15</f>
        <v>3.3660831600245227</v>
      </c>
      <c r="X20" s="125">
        <f t="shared" si="32"/>
        <v>3.2263167430312167</v>
      </c>
      <c r="Y20" s="125">
        <f t="shared" ref="Y20:AA20" si="33">Y9*1000/Y15</f>
        <v>3.2317520879419286</v>
      </c>
      <c r="Z20" s="125">
        <f t="shared" ref="Z20" si="34">Z9*1000/Z15</f>
        <v>3.6852258678678416</v>
      </c>
      <c r="AA20" s="125">
        <f t="shared" si="33"/>
        <v>3.3886676894606422</v>
      </c>
    </row>
    <row r="21" spans="2:31" x14ac:dyDescent="0.2">
      <c r="B21" s="50"/>
    </row>
    <row r="24" spans="2:31" x14ac:dyDescent="0.2"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</row>
    <row r="25" spans="2:31" x14ac:dyDescent="0.2">
      <c r="E25" s="139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</row>
    <row r="26" spans="2:31" ht="15" x14ac:dyDescent="0.25">
      <c r="B26" s="206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</row>
    <row r="27" spans="2:31" x14ac:dyDescent="0.2">
      <c r="K27" s="125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F27E-55D1-46E1-99AC-32222F2C0F51}">
  <dimension ref="A2:AK24"/>
  <sheetViews>
    <sheetView showGridLines="0" workbookViewId="0">
      <pane xSplit="2" ySplit="6" topLeftCell="R7" activePane="bottomRight" state="frozen"/>
      <selection pane="topRight" activeCell="B7" sqref="B7"/>
      <selection pane="bottomLeft" activeCell="B7" sqref="B7"/>
      <selection pane="bottomRight" activeCell="K17" sqref="K17"/>
    </sheetView>
  </sheetViews>
  <sheetFormatPr defaultColWidth="9.140625" defaultRowHeight="15" x14ac:dyDescent="0.25"/>
  <cols>
    <col min="1" max="1" width="9.140625" style="20"/>
    <col min="2" max="2" width="25.5703125" style="62" bestFit="1" customWidth="1"/>
    <col min="3" max="3" width="13.28515625" style="20" bestFit="1" customWidth="1"/>
    <col min="4" max="5" width="12.7109375" style="20" customWidth="1"/>
    <col min="6" max="7" width="13.7109375" style="20" customWidth="1"/>
    <col min="8" max="8" width="12.7109375" style="20" customWidth="1"/>
    <col min="9" max="9" width="12.7109375" style="20" bestFit="1" customWidth="1"/>
    <col min="10" max="11" width="13.5703125" style="20" bestFit="1" customWidth="1"/>
    <col min="12" max="12" width="13.5703125" style="20" customWidth="1"/>
    <col min="13" max="16" width="13.5703125" style="20" bestFit="1" customWidth="1"/>
    <col min="17" max="17" width="13.5703125" style="20" customWidth="1"/>
    <col min="18" max="27" width="13.5703125" style="20" bestFit="1" customWidth="1"/>
    <col min="28" max="28" width="12.85546875" style="20" bestFit="1" customWidth="1"/>
    <col min="29" max="29" width="7.7109375" style="20" customWidth="1"/>
    <col min="30" max="30" width="12.85546875" style="20" customWidth="1"/>
    <col min="31" max="31" width="5.85546875" style="20" customWidth="1"/>
    <col min="32" max="32" width="9.140625" style="20" customWidth="1"/>
    <col min="33" max="33" width="11.7109375" style="20" customWidth="1"/>
    <col min="34" max="34" width="10" style="81" customWidth="1"/>
    <col min="35" max="35" width="9.140625" style="20"/>
    <col min="36" max="36" width="11" style="20" bestFit="1" customWidth="1"/>
    <col min="37" max="16384" width="9.140625" style="20"/>
  </cols>
  <sheetData>
    <row r="2" spans="1:37" x14ac:dyDescent="0.25">
      <c r="A2" s="154">
        <f>'2025 IR Data Book'!$A$5</f>
        <v>1</v>
      </c>
    </row>
    <row r="3" spans="1:37" x14ac:dyDescent="0.25">
      <c r="A3" s="154"/>
    </row>
    <row r="4" spans="1:37" ht="12.75" x14ac:dyDescent="0.2">
      <c r="B4" s="64" t="s">
        <v>325</v>
      </c>
      <c r="C4" s="64"/>
      <c r="D4" s="65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276" t="s">
        <v>17</v>
      </c>
      <c r="AC4" s="276"/>
      <c r="AD4" s="276" t="s">
        <v>17</v>
      </c>
      <c r="AE4" s="276"/>
      <c r="AG4" s="63"/>
    </row>
    <row r="5" spans="1:37" ht="26.25" customHeight="1" x14ac:dyDescent="0.2">
      <c r="B5" s="126"/>
      <c r="C5" s="67" t="s">
        <v>18</v>
      </c>
      <c r="D5" s="67" t="s">
        <v>19</v>
      </c>
      <c r="E5" s="67" t="s">
        <v>20</v>
      </c>
      <c r="F5" s="67" t="s">
        <v>21</v>
      </c>
      <c r="G5" s="67">
        <v>2021</v>
      </c>
      <c r="H5" s="67" t="s">
        <v>23</v>
      </c>
      <c r="I5" s="67" t="s">
        <v>24</v>
      </c>
      <c r="J5" s="194" t="s">
        <v>25</v>
      </c>
      <c r="K5" s="194" t="s">
        <v>26</v>
      </c>
      <c r="L5" s="194">
        <v>2022</v>
      </c>
      <c r="M5" s="194" t="s">
        <v>28</v>
      </c>
      <c r="N5" s="194" t="s">
        <v>29</v>
      </c>
      <c r="O5" s="194" t="s">
        <v>30</v>
      </c>
      <c r="P5" s="194" t="s">
        <v>31</v>
      </c>
      <c r="Q5" s="194">
        <v>2023</v>
      </c>
      <c r="R5" s="194" t="s">
        <v>33</v>
      </c>
      <c r="S5" s="194" t="s">
        <v>34</v>
      </c>
      <c r="T5" s="194" t="s">
        <v>35</v>
      </c>
      <c r="U5" s="194" t="s">
        <v>318</v>
      </c>
      <c r="V5" s="194">
        <v>2024</v>
      </c>
      <c r="W5" s="194" t="s">
        <v>323</v>
      </c>
      <c r="X5" s="194" t="s">
        <v>337</v>
      </c>
      <c r="Y5" s="194" t="s">
        <v>343</v>
      </c>
      <c r="Z5" s="194" t="s">
        <v>349</v>
      </c>
      <c r="AA5" s="194">
        <v>2025</v>
      </c>
      <c r="AB5" s="67" t="s">
        <v>350</v>
      </c>
      <c r="AC5" s="194" t="s">
        <v>36</v>
      </c>
      <c r="AD5" s="256" t="s">
        <v>351</v>
      </c>
      <c r="AE5" s="194" t="s">
        <v>36</v>
      </c>
    </row>
    <row r="6" spans="1:37" ht="12.75" x14ac:dyDescent="0.2">
      <c r="B6" s="68"/>
      <c r="C6" s="69"/>
      <c r="D6" s="69"/>
      <c r="E6" s="69"/>
      <c r="F6" s="69"/>
      <c r="G6" s="69"/>
    </row>
    <row r="7" spans="1:37" x14ac:dyDescent="0.25">
      <c r="B7" s="172" t="s">
        <v>203</v>
      </c>
      <c r="C7" s="176">
        <f>288280.575940776*('2025 IR Data Book'!$A$5)</f>
        <v>288280.57594077598</v>
      </c>
      <c r="D7" s="176">
        <f>328594.887287615*('2025 IR Data Book'!$A$5)</f>
        <v>328594.88728761498</v>
      </c>
      <c r="E7" s="176">
        <f>317999.956029371*('2025 IR Data Book'!$A$5)</f>
        <v>317999.95602937101</v>
      </c>
      <c r="F7" s="176">
        <f>390676.023992678*('2025 IR Data Book'!$A$5)</f>
        <v>390676.02399267798</v>
      </c>
      <c r="G7" s="176">
        <f>SUM(C7:F7)</f>
        <v>1325551.4432504401</v>
      </c>
      <c r="H7" s="176">
        <f>391132.666929349*((('2025 IR Data Book'!$A$5)))</f>
        <v>391132.66692934901</v>
      </c>
      <c r="I7" s="176">
        <f>432410.059701346*(((('2025 IR Data Book'!$A$5))))</f>
        <v>432410.05970134598</v>
      </c>
      <c r="J7" s="176">
        <f>439529.933418189*(('2025 IR Data Book'!$A$5))</f>
        <v>439529.933418189</v>
      </c>
      <c r="K7" s="176">
        <f>(L7-H7-I7-J7)</f>
        <v>421302.90455565351</v>
      </c>
      <c r="L7" s="176">
        <f>'[17]Summary Per Product-22 Vs 21'!$H$5*3.6726*(('2025 IR Data Book'!$A$5))</f>
        <v>1684375.5646045376</v>
      </c>
      <c r="M7" s="176">
        <f>385432.399304953*((('2025 IR Data Book'!$A$5)))</f>
        <v>385432.399304953</v>
      </c>
      <c r="N7" s="176">
        <f>358609.429712727*(((('2025 IR Data Book'!$A$5))))</f>
        <v>358609.42971272703</v>
      </c>
      <c r="O7" s="176">
        <f>367911.179337307*(((('2025 IR Data Book'!$A$5))))</f>
        <v>367911.179337307</v>
      </c>
      <c r="P7" s="176">
        <f>'[18]Sum Per Produc-23 Vs 22 Express'!$R$5*3.6726*(((('2025 IR Data Book'!$A$5))))</f>
        <v>383916.58819229621</v>
      </c>
      <c r="Q7" s="176">
        <f>SUM(M7:P7)</f>
        <v>1495869.5965472832</v>
      </c>
      <c r="R7" s="176">
        <f>'[19]Sum Per Produc-24 Vs 23 Express'!$R$5*3.6726*(((('2025 IR Data Book'!$A$5))))</f>
        <v>398539.65313426586</v>
      </c>
      <c r="S7" s="176">
        <f>'[20]Sum Per Produc-24 Vs 23 Express'!$R$5*3.6726*(((('2025 IR Data Book'!$A$5))))</f>
        <v>411266.27978867444</v>
      </c>
      <c r="T7" s="176">
        <f>'[21]Sum Per Produc-24 Vs 23 Express'!$R$5*3.6726*(((('2025 IR Data Book'!$A$5))))</f>
        <v>449685.85641793784</v>
      </c>
      <c r="U7" s="176">
        <f>'[22]Sum Per Produc-24 Vs 23 Express'!$R$5*3.6726*(((('2025 IR Data Book'!$A$5))))</f>
        <v>464481.15644570021</v>
      </c>
      <c r="V7" s="176">
        <f>'[23]Sum Per Produc-24 Vs 23 Express'!$R$5*3.6726*(((('2025 IR Data Book'!$A$5))))</f>
        <v>1723972.9457865779</v>
      </c>
      <c r="W7" s="176">
        <f>'[24]Sum Per Produc-25 Vs 24 Express'!$R$5*3.6726*(((('2025 IR Data Book'!$A$5))))</f>
        <v>432949.56447876041</v>
      </c>
      <c r="X7" s="176">
        <f>'[25]Sum Per Produc-25 Vs 24 Express'!$R$5*3.6726*(((('2025 IR Data Book'!$A$5))))</f>
        <v>438279.45912363345</v>
      </c>
      <c r="Y7" s="176">
        <f>'[26]Sum Per Produc-25 Vs 24 Express'!$R$5*3.6726*(((('2025 IR Data Book'!$A$5))))</f>
        <v>465711.32483183645</v>
      </c>
      <c r="Z7" s="176">
        <f>'[27]Sum Per Produc-25 Vs 24 Express'!$R$5*3.6726*(((('2025 IR Data Book'!$A$5))))</f>
        <v>454404.86530062329</v>
      </c>
      <c r="AA7" s="176">
        <f>'[28]Sum Per Produc-25 Vs 24 Express'!$R$5*3.6726*(((('2025 IR Data Book'!$A$5))))</f>
        <v>1791345.2137348533</v>
      </c>
      <c r="AB7" s="177">
        <f>Z7-U7</f>
        <v>-10076.291145076917</v>
      </c>
      <c r="AC7" s="178">
        <f>AB7/U7</f>
        <v>-2.1693648935475981E-2</v>
      </c>
      <c r="AD7" s="177">
        <f>(AA7)-(V7)</f>
        <v>67372.267948275432</v>
      </c>
      <c r="AE7" s="178">
        <f>AD7/(V7)</f>
        <v>3.907965499860918E-2</v>
      </c>
      <c r="AG7" s="201"/>
      <c r="AI7" s="230"/>
      <c r="AJ7" s="75"/>
      <c r="AK7" s="75"/>
    </row>
    <row r="8" spans="1:37" x14ac:dyDescent="0.25">
      <c r="B8" s="173" t="s">
        <v>206</v>
      </c>
      <c r="C8" s="179">
        <f>251447.615478377*('2025 IR Data Book'!$A$5)</f>
        <v>251447.615478377</v>
      </c>
      <c r="D8" s="179">
        <f>294641.538103587*('2025 IR Data Book'!$A$5)</f>
        <v>294641.53810358699</v>
      </c>
      <c r="E8" s="179">
        <f>279789.238512976*('2025 IR Data Book'!$A$5)</f>
        <v>279789.23851297598</v>
      </c>
      <c r="F8" s="179">
        <f>345797.662241694*('2025 IR Data Book'!$A$5)</f>
        <v>345797.66224169399</v>
      </c>
      <c r="G8" s="179">
        <f>SUM(C8:F8)</f>
        <v>1171676.054336634</v>
      </c>
      <c r="H8" s="179">
        <f>339079.397942397*((('2025 IR Data Book'!$A$5)))</f>
        <v>339079.39794239699</v>
      </c>
      <c r="I8" s="179">
        <f>374509.42866716*(((('2025 IR Data Book'!$A$5))))</f>
        <v>374509.42866715998</v>
      </c>
      <c r="J8" s="179">
        <f>((378656.481028786--91.1288848682041))*(('2025 IR Data Book'!$A$5))</f>
        <v>378747.60991365422</v>
      </c>
      <c r="K8" s="179">
        <f>(L8-H8-I8-J8)</f>
        <v>359346.48896284791</v>
      </c>
      <c r="L8" s="179">
        <f>'[17]Summary Per Product-22 Vs 21'!$H$9*3.6726*(('2025 IR Data Book'!$A$5))</f>
        <v>1451682.9254860592</v>
      </c>
      <c r="M8" s="179">
        <f>324281.391121137*((('2025 IR Data Book'!$A$5)))</f>
        <v>324281.39112113701</v>
      </c>
      <c r="N8" s="179">
        <f>302008.823645774*(((('2025 IR Data Book'!$A$5))))</f>
        <v>302008.82364577398</v>
      </c>
      <c r="O8" s="179">
        <f>309597.048058527*(((('2025 IR Data Book'!$A$5))))</f>
        <v>309597.048058527</v>
      </c>
      <c r="P8" s="179">
        <f>'[18]Sum Per Produc-23 Vs 22 Express'!$R$9*3.6726*(((('2025 IR Data Book'!$A$5))))</f>
        <v>330644.27233591577</v>
      </c>
      <c r="Q8" s="179">
        <f>SUM(M8:P8)</f>
        <v>1266531.5351613539</v>
      </c>
      <c r="R8" s="179">
        <f>'[19]Sum Per Produc-24 Vs 23 Express'!$R$9*3.6726*(((('2025 IR Data Book'!$A$5))))</f>
        <v>342002.44114211272</v>
      </c>
      <c r="S8" s="179">
        <f>'[20]Sum Per Produc-24 Vs 23 Express'!$R$9*3.6726*(((('2025 IR Data Book'!$A$5))))</f>
        <v>359346.48042870295</v>
      </c>
      <c r="T8" s="179">
        <f>'[21]Sum Per Produc-24 Vs 23 Express'!$R$9*3.6726*(((('2025 IR Data Book'!$A$5))))</f>
        <v>396225.34510166565</v>
      </c>
      <c r="U8" s="179">
        <f>'[22]Sum Per Produc-24 Vs 23 Express'!$R$9*3.6726*(((('2025 IR Data Book'!$A$5))))</f>
        <v>406442.75275217468</v>
      </c>
      <c r="V8" s="179">
        <f>'[23]Sum Per Produc-24 Vs 23 Express'!$R$9*3.6726*(((('2025 IR Data Book'!$A$5))))</f>
        <v>1504017.0194246559</v>
      </c>
      <c r="W8" s="179">
        <f>'[24]Sum Per Produc-25 Vs 24 Express'!$R$9*3.6726*(((('2025 IR Data Book'!$A$5))))</f>
        <v>372434.08364041237</v>
      </c>
      <c r="X8" s="179">
        <f>'[25]Sum Per Produc-25 Vs 24 Express'!$R$9*3.6726*(((('2025 IR Data Book'!$A$5))))</f>
        <v>381530.27971571992</v>
      </c>
      <c r="Y8" s="179">
        <f>'[26]Sum Per Produc-25 Vs 24 Express'!$R$9*3.6726*(((('2025 IR Data Book'!$A$5))))</f>
        <v>406290.5475635078</v>
      </c>
      <c r="Z8" s="179">
        <f>'[27]Sum Per Produc-25 Vs 24 Express'!$R$9*3.6726*(((('2025 IR Data Book'!$A$5))))</f>
        <v>406350.69596212677</v>
      </c>
      <c r="AA8" s="179">
        <f>'[28]Sum Per Produc-25 Vs 24 Express'!$R$9*3.6726*(((('2025 IR Data Book'!$A$5))))</f>
        <v>1566605.6068817663</v>
      </c>
      <c r="AB8" s="180">
        <f t="shared" ref="AB8:AB9" si="0">Z8-U8</f>
        <v>-92.05679004790727</v>
      </c>
      <c r="AC8" s="181">
        <f t="shared" ref="AC8:AC9" si="1">AB8/U8</f>
        <v>-2.2649386518656462E-4</v>
      </c>
      <c r="AD8" s="180">
        <f t="shared" ref="AD8:AD9" si="2">(AA8)-(V8)</f>
        <v>62588.587457110407</v>
      </c>
      <c r="AE8" s="181">
        <f t="shared" ref="AE8:AE9" si="3">AD8/(V8)</f>
        <v>4.1614281386957268E-2</v>
      </c>
      <c r="AG8" s="201"/>
      <c r="AI8" s="230"/>
    </row>
    <row r="9" spans="1:37" x14ac:dyDescent="0.25">
      <c r="B9" s="172" t="s">
        <v>207</v>
      </c>
      <c r="C9" s="176">
        <f>C7-C8</f>
        <v>36832.960462398973</v>
      </c>
      <c r="D9" s="176">
        <f t="shared" ref="D9:I9" si="4">D7-D8</f>
        <v>33953.349184027989</v>
      </c>
      <c r="E9" s="176">
        <f t="shared" si="4"/>
        <v>38210.717516395031</v>
      </c>
      <c r="F9" s="176">
        <f t="shared" si="4"/>
        <v>44878.361750983982</v>
      </c>
      <c r="G9" s="176">
        <f t="shared" ref="G9" si="5">G7-G8</f>
        <v>153875.38891380606</v>
      </c>
      <c r="H9" s="176">
        <f t="shared" si="4"/>
        <v>52053.268986952025</v>
      </c>
      <c r="I9" s="176">
        <f t="shared" si="4"/>
        <v>57900.631034185993</v>
      </c>
      <c r="J9" s="176">
        <f t="shared" ref="J9:K9" si="6">J7-J8</f>
        <v>60782.323504534783</v>
      </c>
      <c r="K9" s="176">
        <f t="shared" si="6"/>
        <v>61956.415592805599</v>
      </c>
      <c r="L9" s="176">
        <f t="shared" ref="L9" si="7">L7-L8</f>
        <v>232692.6391184784</v>
      </c>
      <c r="M9" s="176">
        <f t="shared" ref="M9" si="8">M7-M8</f>
        <v>61151.008183815982</v>
      </c>
      <c r="N9" s="176">
        <f t="shared" ref="N9:O9" si="9">N7-N8</f>
        <v>56600.606066953042</v>
      </c>
      <c r="O9" s="176">
        <f t="shared" si="9"/>
        <v>58314.131278779998</v>
      </c>
      <c r="P9" s="176">
        <f t="shared" ref="P9:Q9" si="10">P7-P8</f>
        <v>53272.315856380446</v>
      </c>
      <c r="Q9" s="176">
        <f t="shared" si="10"/>
        <v>229338.06138592935</v>
      </c>
      <c r="R9" s="176">
        <f t="shared" ref="R9:S9" si="11">R7-R8</f>
        <v>56537.211992153141</v>
      </c>
      <c r="S9" s="176">
        <f t="shared" si="11"/>
        <v>51919.799359971483</v>
      </c>
      <c r="T9" s="176">
        <f t="shared" ref="T9:U9" si="12">T7-T8</f>
        <v>53460.511316272197</v>
      </c>
      <c r="U9" s="176">
        <f t="shared" si="12"/>
        <v>58038.403693525528</v>
      </c>
      <c r="V9" s="176">
        <f t="shared" ref="V9:W9" si="13">V7-V8</f>
        <v>219955.92636192194</v>
      </c>
      <c r="W9" s="176">
        <f t="shared" si="13"/>
        <v>60515.480838348041</v>
      </c>
      <c r="X9" s="176">
        <f t="shared" ref="X9:Y9" si="14">X7-X8</f>
        <v>56749.179407913529</v>
      </c>
      <c r="Y9" s="176">
        <f t="shared" si="14"/>
        <v>59420.777268328646</v>
      </c>
      <c r="Z9" s="176">
        <f t="shared" ref="Z9:AA9" si="15">Z7-Z8</f>
        <v>48054.169338496518</v>
      </c>
      <c r="AA9" s="176">
        <f t="shared" si="15"/>
        <v>224739.60685308697</v>
      </c>
      <c r="AB9" s="176">
        <f t="shared" si="0"/>
        <v>-9984.2343550290097</v>
      </c>
      <c r="AC9" s="178">
        <f t="shared" si="1"/>
        <v>-0.17202806623957509</v>
      </c>
      <c r="AD9" s="176">
        <f t="shared" si="2"/>
        <v>4783.6804911650252</v>
      </c>
      <c r="AE9" s="178">
        <f t="shared" si="3"/>
        <v>2.1748359183984052E-2</v>
      </c>
      <c r="AG9" s="201"/>
      <c r="AI9" s="230"/>
      <c r="AJ9" s="75"/>
      <c r="AK9" s="75"/>
    </row>
    <row r="10" spans="1:37" x14ac:dyDescent="0.25">
      <c r="B10" s="174" t="s">
        <v>208</v>
      </c>
      <c r="C10" s="182">
        <f>C9/C7</f>
        <v>0.12776774967303345</v>
      </c>
      <c r="D10" s="182">
        <f t="shared" ref="D10:I10" si="16">D9/D7</f>
        <v>0.10332890284537218</v>
      </c>
      <c r="E10" s="182">
        <f t="shared" si="16"/>
        <v>0.12015950566001281</v>
      </c>
      <c r="F10" s="182">
        <f t="shared" si="16"/>
        <v>0.11487360112947471</v>
      </c>
      <c r="G10" s="182">
        <f t="shared" ref="G10" si="17">G9/G7</f>
        <v>0.11608405671264013</v>
      </c>
      <c r="H10" s="182">
        <f t="shared" si="16"/>
        <v>0.13308340976887645</v>
      </c>
      <c r="I10" s="182">
        <f t="shared" si="16"/>
        <v>0.13390213695346589</v>
      </c>
      <c r="J10" s="182">
        <f t="shared" ref="J10:K10" si="18">J9/J7</f>
        <v>0.13828938345981476</v>
      </c>
      <c r="K10" s="182">
        <f t="shared" si="18"/>
        <v>0.14705907536562271</v>
      </c>
      <c r="L10" s="182">
        <f t="shared" ref="L10" si="19">L9/L7</f>
        <v>0.13814771717678689</v>
      </c>
      <c r="M10" s="182">
        <f t="shared" ref="M10" si="20">M9/M7</f>
        <v>0.15865559899502243</v>
      </c>
      <c r="N10" s="182">
        <f t="shared" ref="N10:O10" si="21">N9/N7</f>
        <v>0.15783356871651244</v>
      </c>
      <c r="O10" s="182">
        <f t="shared" si="21"/>
        <v>0.15850056903358364</v>
      </c>
      <c r="P10" s="182">
        <f t="shared" ref="P10:Q10" si="22">P9/P7</f>
        <v>0.1387601304419214</v>
      </c>
      <c r="Q10" s="182">
        <f t="shared" si="22"/>
        <v>0.15331420727801401</v>
      </c>
      <c r="R10" s="182">
        <f t="shared" ref="R10:S10" si="23">R9/R7</f>
        <v>0.14186094544802061</v>
      </c>
      <c r="S10" s="182">
        <f t="shared" si="23"/>
        <v>0.12624375474364205</v>
      </c>
      <c r="T10" s="182">
        <f t="shared" ref="T10:U10" si="24">T9/T7</f>
        <v>0.118884128894163</v>
      </c>
      <c r="U10" s="182">
        <f t="shared" si="24"/>
        <v>0.12495319323101638</v>
      </c>
      <c r="V10" s="182">
        <f t="shared" ref="V10:W10" si="25">V9/V7</f>
        <v>0.12758664624030114</v>
      </c>
      <c r="W10" s="182">
        <f t="shared" si="25"/>
        <v>0.13977489713196559</v>
      </c>
      <c r="X10" s="182">
        <f t="shared" ref="X10:Y10" si="26">X9/X7</f>
        <v>0.12948172273778694</v>
      </c>
      <c r="Y10" s="182">
        <f t="shared" si="26"/>
        <v>0.12759143722731001</v>
      </c>
      <c r="Z10" s="182">
        <f t="shared" ref="Z10:AA10" si="27">Z9/Z7</f>
        <v>0.10575188121435504</v>
      </c>
      <c r="AA10" s="182">
        <f t="shared" si="27"/>
        <v>0.1254585688620663</v>
      </c>
      <c r="AB10" s="182"/>
      <c r="AC10" s="182"/>
      <c r="AD10" s="182"/>
      <c r="AE10" s="182"/>
      <c r="AG10" s="201"/>
      <c r="AI10" s="230"/>
      <c r="AJ10" s="75"/>
      <c r="AK10" s="75"/>
    </row>
    <row r="11" spans="1:37" x14ac:dyDescent="0.25">
      <c r="B11" s="71" t="s">
        <v>209</v>
      </c>
      <c r="C11" s="183">
        <f>32732.6409250042*('2025 IR Data Book'!$A$5)</f>
        <v>32732.640925004202</v>
      </c>
      <c r="D11" s="183">
        <f>34550.7422333988*('2025 IR Data Book'!$A$5)</f>
        <v>34550.7422333988</v>
      </c>
      <c r="E11" s="183">
        <f>33417.1568083944*('2025 IR Data Book'!$A$5)</f>
        <v>33417.1568083944</v>
      </c>
      <c r="F11" s="183">
        <f>40446.1853529885*('2025 IR Data Book'!$A$5)</f>
        <v>40446.185352988497</v>
      </c>
      <c r="G11" s="183">
        <f>SUM(C11:F11)</f>
        <v>141146.72531978588</v>
      </c>
      <c r="H11" s="183">
        <f>35550.2469212581*((('2025 IR Data Book'!$A$5)))</f>
        <v>35550.246921258098</v>
      </c>
      <c r="I11" s="183">
        <f>39710.4127399845*(((('2025 IR Data Book'!$A$5))))</f>
        <v>39710.412739984502</v>
      </c>
      <c r="J11" s="183">
        <f>(38414.9799334238-4.39392664916194-4.76633426836378)*(('2025 IR Data Book'!$A$5))</f>
        <v>38405.819672506266</v>
      </c>
      <c r="K11" s="183">
        <f>(L11-H11-I11-J11)</f>
        <v>41449.423466386499</v>
      </c>
      <c r="L11" s="183">
        <f>'[17]Summary Per Product-22 Vs 21'!$H$15*3.6726*(('2025 IR Data Book'!$A$5))</f>
        <v>155115.90280013537</v>
      </c>
      <c r="M11" s="183">
        <f>38530.4366974136*((('2025 IR Data Book'!$A$5)))</f>
        <v>38530.436697413599</v>
      </c>
      <c r="N11" s="183">
        <f>39814.9087429615*(((('2025 IR Data Book'!$A$5))))</f>
        <v>39814.908742961503</v>
      </c>
      <c r="O11" s="183">
        <f>40106.3348701336*(((('2025 IR Data Book'!$A$5))))</f>
        <v>40106.3348701336</v>
      </c>
      <c r="P11" s="183">
        <f>'[18]Sum Per Produc-23 Vs 22 Express'!$R$15*3.6726*(((('2025 IR Data Book'!$A$5))))</f>
        <v>42880.7978945375</v>
      </c>
      <c r="Q11" s="183">
        <f>SUM(M11:P11)</f>
        <v>161332.47820504621</v>
      </c>
      <c r="R11" s="183">
        <f>'[19]Sum Per Produc-24 Vs 23 Express'!$R$15*3.6726*(((('2025 IR Data Book'!$A$5))))</f>
        <v>43959.882037104348</v>
      </c>
      <c r="S11" s="183">
        <f>'[20]Sum Per Produc-24 Vs 23 Express'!$R$15*3.6726*(((('2025 IR Data Book'!$A$5))))</f>
        <v>41834.587712970977</v>
      </c>
      <c r="T11" s="183">
        <f>'[21]Sum Per Produc-24 Vs 23 Express'!$R$15*3.6726*(((('2025 IR Data Book'!$A$5))))</f>
        <v>42561.077860360601</v>
      </c>
      <c r="U11" s="183">
        <f>'[22]Sum Per Produc-24 Vs 23 Express'!$R$15*3.6726*(((('2025 IR Data Book'!$A$5))))</f>
        <v>36696.714181531177</v>
      </c>
      <c r="V11" s="183">
        <f>'[23]Sum Per Produc-24 Vs 23 Express'!$R$15*3.6726*(((('2025 IR Data Book'!$A$5))))</f>
        <v>165052.26179196715</v>
      </c>
      <c r="W11" s="183">
        <f>'[24]Sum Per Produc-25 Vs 24 Express'!$R$15*3.6726*(((('2025 IR Data Book'!$A$5))))</f>
        <v>40199.053058825906</v>
      </c>
      <c r="X11" s="183">
        <f>'[25]Sum Per Produc-25 Vs 24 Express'!$R$15*3.6726*(((('2025 IR Data Book'!$A$5))))</f>
        <v>43328.361202841756</v>
      </c>
      <c r="Y11" s="183">
        <f>'[26]Sum Per Produc-25 Vs 24 Express'!$R$15*3.6726*(((('2025 IR Data Book'!$A$5))))</f>
        <v>43486.947796303197</v>
      </c>
      <c r="Z11" s="183">
        <f>'[27]Sum Per Produc-25 Vs 24 Express'!$R$15*3.6726*(((('2025 IR Data Book'!$A$5))))</f>
        <v>46529.801479102964</v>
      </c>
      <c r="AA11" s="183">
        <f>'[28]Sum Per Produc-25 Vs 24 Express'!$R$15*3.6726*(((('2025 IR Data Book'!$A$5))))</f>
        <v>173544.16353707385</v>
      </c>
      <c r="AB11" s="184">
        <f>Z11-U11</f>
        <v>9833.0872975717866</v>
      </c>
      <c r="AC11" s="181">
        <f>AB11/U11</f>
        <v>0.26795552454450022</v>
      </c>
      <c r="AD11" s="184">
        <f>(AA11)-(V11)</f>
        <v>8491.9017451067048</v>
      </c>
      <c r="AE11" s="181">
        <f>AD11/(V11)</f>
        <v>5.1449775076756889E-2</v>
      </c>
      <c r="AG11" s="201"/>
      <c r="AI11" s="230"/>
      <c r="AJ11" s="75"/>
      <c r="AK11" s="75"/>
    </row>
    <row r="12" spans="1:37" x14ac:dyDescent="0.25">
      <c r="B12" s="72" t="s">
        <v>210</v>
      </c>
      <c r="C12" s="185">
        <f>3822.92049566416*('2025 IR Data Book'!$A$5)</f>
        <v>3822.9204956641602</v>
      </c>
      <c r="D12" s="185">
        <f>171.814102409621*('2025 IR Data Book'!$A$5)</f>
        <v>171.814102409621</v>
      </c>
      <c r="E12" s="185">
        <f>5640.07082045135*('2025 IR Data Book'!$A$5)</f>
        <v>5640.0708204513503</v>
      </c>
      <c r="F12" s="185">
        <f>4136.80991535253*('2025 IR Data Book'!$A$5)</f>
        <v>4136.80991535253</v>
      </c>
      <c r="G12" s="185">
        <f>SUM(C12:F12)</f>
        <v>13771.61533387766</v>
      </c>
      <c r="H12" s="185">
        <f>14772.9469336429*((('2025 IR Data Book'!$A$5)))</f>
        <v>14772.946933642899</v>
      </c>
      <c r="I12" s="185">
        <f>17186.7608977198*(((('2025 IR Data Book'!$A$5))))</f>
        <v>17186.7608977198</v>
      </c>
      <c r="J12" s="185">
        <f>(23649.3192942625-86.7348680146739+4.7662891663199)*(('2025 IR Data Book'!$A$5))</f>
        <v>23567.350715414144</v>
      </c>
      <c r="K12" s="185">
        <f>(L12-H12-I12-J12)</f>
        <v>16334.294038313656</v>
      </c>
      <c r="L12" s="185">
        <f>'[17]Summary Per Product-22 Vs 21'!$H$21*3.6726*(('2025 IR Data Book'!$A$5))</f>
        <v>71861.352585090499</v>
      </c>
      <c r="M12" s="185">
        <f>20526.1305095385*((('2025 IR Data Book'!$A$5)))</f>
        <v>20526.1305095385</v>
      </c>
      <c r="N12" s="185">
        <f>15543.7240725677*(((('2025 IR Data Book'!$A$5))))</f>
        <v>15543.7240725677</v>
      </c>
      <c r="O12" s="185">
        <f>17185.2125450052*(((('2025 IR Data Book'!$A$5))))</f>
        <v>17185.212545005201</v>
      </c>
      <c r="P12" s="185">
        <f>'[18]Sum Per Produc-23 Vs 22 Express'!$R$18*3.6726*(((('2025 IR Data Book'!$A$5))))</f>
        <v>10563.819593713124</v>
      </c>
      <c r="Q12" s="185">
        <f>SUM(M12:P12)</f>
        <v>63818.886720824521</v>
      </c>
      <c r="R12" s="185">
        <f>'[19]Sum Per Produc-24 Vs 23 Express'!$R$18*3.6726*(((('2025 IR Data Book'!$A$5))))</f>
        <v>12493.599580943153</v>
      </c>
      <c r="S12" s="185">
        <f>'[20]Sum Per Produc-24 Vs 23 Express'!$R$18*3.6726*(((('2025 IR Data Book'!$A$5))))</f>
        <v>11645.296585062824</v>
      </c>
      <c r="T12" s="185">
        <f>'[21]Sum Per Produc-24 Vs 23 Express'!$R$18*3.6726*(((('2025 IR Data Book'!$A$5))))</f>
        <v>12509.448814519623</v>
      </c>
      <c r="U12" s="185">
        <f>'[22]Sum Per Produc-24 Vs 23 Express'!$R$18*3.6726*(((('2025 IR Data Book'!$A$5))))</f>
        <v>19856.786797500044</v>
      </c>
      <c r="V12" s="185">
        <f>'[23]Sum Per Produc-24 Vs 23 Express'!$R$18*3.6726*(((('2025 IR Data Book'!$A$5))))</f>
        <v>56505.131778025243</v>
      </c>
      <c r="W12" s="185">
        <f>'[24]Sum Per Produc-25 Vs 24 Express'!$R$18*3.6726*(((('2025 IR Data Book'!$A$5))))</f>
        <v>19989.514876503352</v>
      </c>
      <c r="X12" s="185">
        <f>'[25]Sum Per Produc-25 Vs 24 Express'!$R$18*3.6726*(((('2025 IR Data Book'!$A$5))))</f>
        <v>13339.883645361264</v>
      </c>
      <c r="Y12" s="185">
        <f>'[26]Sum Per Produc-25 Vs 24 Express'!$R$18*3.6726*(((('2025 IR Data Book'!$A$5))))</f>
        <v>15560.61282868839</v>
      </c>
      <c r="Z12" s="185">
        <f>'[27]Sum Per Produc-25 Vs 24 Express'!$R$18*3.6726*(((('2025 IR Data Book'!$A$5))))</f>
        <v>1555.5292017477361</v>
      </c>
      <c r="AA12" s="185">
        <f>'[28]Sum Per Produc-25 Vs 24 Express'!$R$18*3.6726*(((('2025 IR Data Book'!$A$5))))</f>
        <v>50445.805530390775</v>
      </c>
      <c r="AB12" s="185">
        <f>Z12-U12</f>
        <v>-18301.257595752308</v>
      </c>
      <c r="AC12" s="186">
        <f>AB12/U12</f>
        <v>-0.92166259236143999</v>
      </c>
      <c r="AD12" s="185">
        <f>(AA12)-(V12)</f>
        <v>-6059.326247634468</v>
      </c>
      <c r="AE12" s="186">
        <f>AD12/(V12)</f>
        <v>-0.10723497241698196</v>
      </c>
      <c r="AG12" s="201"/>
      <c r="AI12" s="230"/>
    </row>
    <row r="13" spans="1:37" x14ac:dyDescent="0.25">
      <c r="B13" s="62" t="s">
        <v>211</v>
      </c>
      <c r="C13" s="182">
        <f>C12/C7</f>
        <v>1.326111023328029E-2</v>
      </c>
      <c r="D13" s="182">
        <f>D12/D7</f>
        <v>5.2287515435148657E-4</v>
      </c>
      <c r="E13" s="182">
        <f t="shared" ref="E13:I13" si="28">E12/E7</f>
        <v>1.7736074214835501E-2</v>
      </c>
      <c r="F13" s="182">
        <f t="shared" si="28"/>
        <v>1.0588850252633016E-2</v>
      </c>
      <c r="G13" s="182">
        <f t="shared" si="28"/>
        <v>1.0389348073966641E-2</v>
      </c>
      <c r="H13" s="182">
        <f t="shared" si="28"/>
        <v>3.7769657670427621E-2</v>
      </c>
      <c r="I13" s="182">
        <f t="shared" si="28"/>
        <v>3.9746440935232254E-2</v>
      </c>
      <c r="J13" s="182">
        <f t="shared" ref="J13:K13" si="29">J12/J7</f>
        <v>5.3619444146005599E-2</v>
      </c>
      <c r="K13" s="182">
        <f t="shared" si="29"/>
        <v>3.8770902981410421E-2</v>
      </c>
      <c r="L13" s="182">
        <f t="shared" ref="L13" si="30">L12/L7</f>
        <v>4.2663497437973291E-2</v>
      </c>
      <c r="M13" s="182">
        <f t="shared" ref="M13:N13" si="31">M12/M7</f>
        <v>5.3254813416186854E-2</v>
      </c>
      <c r="N13" s="182">
        <f t="shared" si="31"/>
        <v>4.3344437665845503E-2</v>
      </c>
      <c r="O13" s="182">
        <f t="shared" ref="O13:Q13" si="32">O12/O7</f>
        <v>4.6710221135328744E-2</v>
      </c>
      <c r="P13" s="182">
        <f t="shared" si="32"/>
        <v>2.7515923819425889E-2</v>
      </c>
      <c r="Q13" s="182">
        <f t="shared" si="32"/>
        <v>4.2663402523942705E-2</v>
      </c>
      <c r="R13" s="182">
        <f t="shared" ref="R13:S13" si="33">R12/R7</f>
        <v>3.1348447971710679E-2</v>
      </c>
      <c r="S13" s="182">
        <f t="shared" si="33"/>
        <v>2.8315709693113322E-2</v>
      </c>
      <c r="T13" s="182">
        <f t="shared" ref="T13:U13" si="34">T12/T7</f>
        <v>2.7818194937608502E-2</v>
      </c>
      <c r="U13" s="182">
        <f t="shared" si="34"/>
        <v>4.2750467961817924E-2</v>
      </c>
      <c r="V13" s="182">
        <f t="shared" ref="V13:W13" si="35">V12/V7</f>
        <v>3.2776112824812499E-2</v>
      </c>
      <c r="W13" s="182">
        <f t="shared" si="35"/>
        <v>4.6170539288032927E-2</v>
      </c>
      <c r="X13" s="182">
        <f t="shared" ref="X13:Y13" si="36">X12/X7</f>
        <v>3.0436935538880092E-2</v>
      </c>
      <c r="Y13" s="182">
        <f t="shared" si="36"/>
        <v>3.3412571262481469E-2</v>
      </c>
      <c r="Z13" s="182">
        <f t="shared" ref="Z13:AA13" si="37">Z12/Z7</f>
        <v>3.4232230341958059E-3</v>
      </c>
      <c r="AA13" s="182">
        <f t="shared" si="37"/>
        <v>2.8160850931247431E-2</v>
      </c>
      <c r="AB13" s="182"/>
      <c r="AC13" s="182"/>
      <c r="AD13" s="182"/>
      <c r="AE13" s="182"/>
      <c r="AG13" s="201"/>
      <c r="AI13" s="230"/>
      <c r="AJ13" s="75"/>
      <c r="AK13" s="75"/>
    </row>
    <row r="14" spans="1:37" x14ac:dyDescent="0.25">
      <c r="B14" s="72" t="s">
        <v>212</v>
      </c>
      <c r="C14" s="185">
        <f>11649.503469717*('2025 IR Data Book'!$A$5)</f>
        <v>11649.503469716999</v>
      </c>
      <c r="D14" s="185">
        <f>7725.88673752908*('2025 IR Data Book'!$A$5)</f>
        <v>7725.8867375290802</v>
      </c>
      <c r="E14" s="185">
        <f>12316.8417705766*('2025 IR Data Book'!$A$5)</f>
        <v>12316.841770576601</v>
      </c>
      <c r="F14" s="185">
        <f>11482.2707390202*('2025 IR Data Book'!$A$5)</f>
        <v>11482.270739020199</v>
      </c>
      <c r="G14" s="185">
        <f>SUM(C14:F14)</f>
        <v>43174.502716842879</v>
      </c>
      <c r="H14" s="185">
        <f>21659.145108213*((('2025 IR Data Book'!$A$5)))</f>
        <v>21659.145108213001</v>
      </c>
      <c r="I14" s="185">
        <f>24717.5768034835*(((('2025 IR Data Book'!$A$5))))</f>
        <v>24717.576803483498</v>
      </c>
      <c r="J14" s="185">
        <f>(31379.0339348859-87.8817914099559+3.53117222749762)*(('2025 IR Data Book'!$A$5))</f>
        <v>31294.683315703442</v>
      </c>
      <c r="K14" s="185">
        <f>(L14-H14-I14-J14)</f>
        <v>23442.815503556376</v>
      </c>
      <c r="L14" s="185">
        <f>'[17]Summary Per Product-22 Vs 21'!$H$31*3.6726*(('2025 IR Data Book'!$A$5))</f>
        <v>101114.22073095631</v>
      </c>
      <c r="M14" s="185">
        <f>27676.3100070397*((('2025 IR Data Book'!$A$5)))</f>
        <v>27676.310007039701</v>
      </c>
      <c r="N14" s="185">
        <f>22324.5220980563*(((('2025 IR Data Book'!$A$5))))</f>
        <v>22324.522098056299</v>
      </c>
      <c r="O14" s="185">
        <f>24013.728819716*(((('2025 IR Data Book'!$A$5))))</f>
        <v>24013.728819716001</v>
      </c>
      <c r="P14" s="185">
        <f>'[18]Sum Per Produc-23 Vs 22 Express'!$R$22*3.6726*(((('2025 IR Data Book'!$A$5))))</f>
        <v>18320.11676864863</v>
      </c>
      <c r="Q14" s="185">
        <f>SUM(M14:P14)</f>
        <v>92334.677693460631</v>
      </c>
      <c r="R14" s="185">
        <f>'[19]Sum Per Produc-24 Vs 23 Express'!$R$22*3.6726*(((('2025 IR Data Book'!$A$5))))</f>
        <v>19703.61063790827</v>
      </c>
      <c r="S14" s="185">
        <f>'[20]Sum Per Produc-24 Vs 23 Express'!$R$22*3.6726*(((('2025 IR Data Book'!$A$5))))</f>
        <v>18337.502796972007</v>
      </c>
      <c r="T14" s="185">
        <f>'[21]Sum Per Produc-24 Vs 23 Express'!$R$22*3.6726*(((('2025 IR Data Book'!$A$5))))</f>
        <v>19815.518862553392</v>
      </c>
      <c r="U14" s="185">
        <f>'[22]Sum Per Produc-24 Vs 23 Express'!$R$22*3.6726*(((('2025 IR Data Book'!$A$5))))</f>
        <v>26830.434388344562</v>
      </c>
      <c r="V14" s="185">
        <f>'[23]Sum Per Produc-24 Vs 23 Express'!$R$22*3.6726*(((('2025 IR Data Book'!$A$5))))</f>
        <v>84687.066685777812</v>
      </c>
      <c r="W14" s="185">
        <f>'[24]Sum Per Produc-25 Vs 24 Express'!$R$22*3.6726*(((('2025 IR Data Book'!$A$5))))</f>
        <v>27390.993246107879</v>
      </c>
      <c r="X14" s="185">
        <f>'[25]Sum Per Produc-25 Vs 24 Express'!$R$22*3.6726*(((('2025 IR Data Book'!$A$5))))</f>
        <v>21198.24517919651</v>
      </c>
      <c r="Y14" s="185">
        <f>'[26]Sum Per Produc-25 Vs 24 Express'!$R$22*3.6726*(((('2025 IR Data Book'!$A$5))))</f>
        <v>23706.332058586933</v>
      </c>
      <c r="Z14" s="185">
        <f>'[27]Sum Per Produc-25 Vs 24 Express'!$R$22*3.6726*(((('2025 IR Data Book'!$A$5))))</f>
        <v>10435.116817783317</v>
      </c>
      <c r="AA14" s="185">
        <f>'[28]Sum Per Produc-25 Vs 24 Express'!$R$22*3.6726*(((('2025 IR Data Book'!$A$5))))</f>
        <v>82730.952279764679</v>
      </c>
      <c r="AB14" s="185">
        <f>Z14-U14</f>
        <v>-16395.317570561245</v>
      </c>
      <c r="AC14" s="186">
        <f>AB14/U14</f>
        <v>-0.61107164100494593</v>
      </c>
      <c r="AD14" s="185">
        <f>(AA14)-(V14)</f>
        <v>-1956.1144060131337</v>
      </c>
      <c r="AE14" s="186">
        <f>AD14/(V14)</f>
        <v>-2.3098148071075415E-2</v>
      </c>
      <c r="AG14" s="201"/>
      <c r="AI14" s="230"/>
    </row>
    <row r="15" spans="1:37" x14ac:dyDescent="0.25">
      <c r="B15" s="62" t="s">
        <v>213</v>
      </c>
      <c r="C15" s="182">
        <f>C14/C7</f>
        <v>4.0410296225127075E-2</v>
      </c>
      <c r="D15" s="182">
        <f t="shared" ref="D15:I15" si="38">D14/D7</f>
        <v>2.3511889674554518E-2</v>
      </c>
      <c r="E15" s="182">
        <f t="shared" si="38"/>
        <v>3.873221218130922E-2</v>
      </c>
      <c r="F15" s="182">
        <f t="shared" si="38"/>
        <v>2.9390774027216474E-2</v>
      </c>
      <c r="G15" s="182">
        <f t="shared" si="38"/>
        <v>3.2570974847247629E-2</v>
      </c>
      <c r="H15" s="182">
        <f t="shared" si="38"/>
        <v>5.537544403603939E-2</v>
      </c>
      <c r="I15" s="182">
        <f t="shared" si="38"/>
        <v>5.7162353763358938E-2</v>
      </c>
      <c r="J15" s="182">
        <f t="shared" ref="J15:K15" si="39">J14/J7</f>
        <v>7.1200345952156671E-2</v>
      </c>
      <c r="K15" s="182">
        <f t="shared" si="39"/>
        <v>5.5643612351264041E-2</v>
      </c>
      <c r="L15" s="182">
        <f t="shared" ref="L15" si="40">L14/L7</f>
        <v>6.003068606299581E-2</v>
      </c>
      <c r="M15" s="182">
        <f t="shared" ref="M15:N15" si="41">M14/M7</f>
        <v>7.1805873239894097E-2</v>
      </c>
      <c r="N15" s="182">
        <f t="shared" si="41"/>
        <v>6.2253025850268109E-2</v>
      </c>
      <c r="O15" s="182">
        <f t="shared" ref="O15:Q15" si="42">O14/O7</f>
        <v>6.5270451588261794E-2</v>
      </c>
      <c r="P15" s="182">
        <f t="shared" si="42"/>
        <v>4.7719002856611258E-2</v>
      </c>
      <c r="Q15" s="182">
        <f t="shared" si="42"/>
        <v>6.1726421812826789E-2</v>
      </c>
      <c r="R15" s="182">
        <f t="shared" ref="R15:S15" si="43">R14/R7</f>
        <v>4.9439523728571695E-2</v>
      </c>
      <c r="S15" s="182">
        <f t="shared" si="43"/>
        <v>4.4587907392734875E-2</v>
      </c>
      <c r="T15" s="182">
        <f t="shared" ref="T15:U15" si="44">T14/T7</f>
        <v>4.4065248172130318E-2</v>
      </c>
      <c r="U15" s="182">
        <f t="shared" si="44"/>
        <v>5.7764311890833725E-2</v>
      </c>
      <c r="V15" s="182">
        <f t="shared" ref="V15:W15" si="45">V14/V7</f>
        <v>4.9123199347620036E-2</v>
      </c>
      <c r="W15" s="182">
        <f t="shared" si="45"/>
        <v>6.326601408892657E-2</v>
      </c>
      <c r="X15" s="182">
        <f t="shared" ref="X15:Y15" si="46">X14/X7</f>
        <v>4.8366960253130947E-2</v>
      </c>
      <c r="Y15" s="182">
        <f t="shared" si="46"/>
        <v>5.0903490627261523E-2</v>
      </c>
      <c r="Z15" s="182">
        <f t="shared" ref="Z15:AA15" si="47">Z14/Z7</f>
        <v>2.2964359791525769E-2</v>
      </c>
      <c r="AA15" s="182">
        <f t="shared" si="47"/>
        <v>4.618370130192568E-2</v>
      </c>
      <c r="AB15" s="182"/>
      <c r="AC15" s="182"/>
      <c r="AD15" s="182"/>
      <c r="AE15" s="182"/>
      <c r="AH15" s="244"/>
    </row>
    <row r="16" spans="1:37" x14ac:dyDescent="0.25">
      <c r="AH16" s="245"/>
    </row>
    <row r="17" spans="2:37" x14ac:dyDescent="0.25">
      <c r="B17" s="71" t="s">
        <v>214</v>
      </c>
      <c r="H17" s="28"/>
      <c r="AH17" s="246"/>
      <c r="AJ17" s="75"/>
      <c r="AK17" s="75"/>
    </row>
    <row r="18" spans="2:37" x14ac:dyDescent="0.25">
      <c r="B18" s="71"/>
      <c r="C18" s="67" t="s">
        <v>18</v>
      </c>
      <c r="D18" s="67" t="s">
        <v>19</v>
      </c>
      <c r="E18" s="67" t="s">
        <v>20</v>
      </c>
      <c r="F18" s="67" t="s">
        <v>21</v>
      </c>
      <c r="G18" s="194">
        <v>2021</v>
      </c>
      <c r="H18" s="67" t="s">
        <v>23</v>
      </c>
      <c r="I18" s="67" t="s">
        <v>24</v>
      </c>
      <c r="J18" s="194" t="s">
        <v>25</v>
      </c>
      <c r="K18" s="194" t="s">
        <v>26</v>
      </c>
      <c r="L18" s="194">
        <v>2022</v>
      </c>
      <c r="M18" s="194" t="s">
        <v>28</v>
      </c>
      <c r="N18" s="194" t="s">
        <v>29</v>
      </c>
      <c r="O18" s="194" t="s">
        <v>30</v>
      </c>
      <c r="P18" s="194" t="s">
        <v>31</v>
      </c>
      <c r="Q18" s="194">
        <f>Q5</f>
        <v>2023</v>
      </c>
      <c r="R18" s="194" t="s">
        <v>33</v>
      </c>
      <c r="S18" s="194" t="s">
        <v>34</v>
      </c>
      <c r="T18" s="194" t="s">
        <v>35</v>
      </c>
      <c r="U18" s="194" t="s">
        <v>318</v>
      </c>
      <c r="V18" s="194">
        <v>2024</v>
      </c>
      <c r="W18" s="194" t="s">
        <v>323</v>
      </c>
      <c r="X18" s="194" t="s">
        <v>337</v>
      </c>
      <c r="Y18" s="194" t="s">
        <v>343</v>
      </c>
      <c r="Z18" s="194" t="s">
        <v>349</v>
      </c>
      <c r="AA18" s="194">
        <v>2025</v>
      </c>
      <c r="AH18" s="247"/>
    </row>
    <row r="19" spans="2:37" ht="12.75" x14ac:dyDescent="0.2">
      <c r="B19" s="215" t="s">
        <v>228</v>
      </c>
      <c r="C19" s="216">
        <v>5951</v>
      </c>
      <c r="D19" s="217">
        <v>5937</v>
      </c>
      <c r="E19" s="217">
        <v>6294</v>
      </c>
      <c r="F19" s="217">
        <v>7680</v>
      </c>
      <c r="G19" s="217">
        <f>SUM(C19:F19)</f>
        <v>25862</v>
      </c>
      <c r="H19" s="217">
        <v>7271</v>
      </c>
      <c r="I19" s="218">
        <v>6794</v>
      </c>
      <c r="J19" s="226">
        <v>7355</v>
      </c>
      <c r="K19" s="226">
        <v>7616</v>
      </c>
      <c r="L19" s="226">
        <f>SUM(H19:K19)</f>
        <v>29036</v>
      </c>
      <c r="M19" s="226">
        <v>6829</v>
      </c>
      <c r="N19" s="226">
        <v>6582</v>
      </c>
      <c r="O19" s="235">
        <v>7718</v>
      </c>
      <c r="P19" s="235">
        <v>8024</v>
      </c>
      <c r="Q19" s="226">
        <f>SUM(M19:P19)</f>
        <v>29153</v>
      </c>
      <c r="R19" s="235">
        <v>7893</v>
      </c>
      <c r="S19" s="235">
        <v>6731</v>
      </c>
      <c r="T19" s="235">
        <v>7380</v>
      </c>
      <c r="U19" s="235">
        <v>7656</v>
      </c>
      <c r="V19" s="235">
        <v>29660</v>
      </c>
      <c r="W19" s="235">
        <v>8172</v>
      </c>
      <c r="X19" s="235">
        <v>8271</v>
      </c>
      <c r="Y19" s="235">
        <v>8885</v>
      </c>
      <c r="Z19" s="235">
        <v>9605</v>
      </c>
      <c r="AA19" s="235">
        <v>34933</v>
      </c>
      <c r="AB19" s="139"/>
      <c r="AC19" s="2"/>
      <c r="AD19" s="139"/>
      <c r="AE19" s="2"/>
      <c r="AF19" s="139"/>
      <c r="AH19" s="247"/>
    </row>
    <row r="20" spans="2:37" ht="12.75" x14ac:dyDescent="0.2">
      <c r="B20" s="219" t="s">
        <v>229</v>
      </c>
      <c r="C20" s="220">
        <v>34763989.210000053</v>
      </c>
      <c r="D20" s="221">
        <v>37260459.126000009</v>
      </c>
      <c r="E20" s="221">
        <v>39762128.206000052</v>
      </c>
      <c r="F20" s="221">
        <v>40009071.34800002</v>
      </c>
      <c r="G20" s="221">
        <f t="shared" ref="G20:G23" si="48">SUM(C20:F20)</f>
        <v>151795647.89000013</v>
      </c>
      <c r="H20" s="221">
        <v>36921430</v>
      </c>
      <c r="I20" s="222">
        <v>39173304</v>
      </c>
      <c r="J20" s="227">
        <v>38523420</v>
      </c>
      <c r="K20" s="227">
        <v>38871375.280000068</v>
      </c>
      <c r="L20" s="227">
        <f t="shared" ref="L20:L23" si="49">SUM(H20:K20)</f>
        <v>153489529.28000006</v>
      </c>
      <c r="M20" s="227">
        <v>36357055.587000057</v>
      </c>
      <c r="N20" s="227">
        <v>38483702.320000142</v>
      </c>
      <c r="O20" s="227">
        <v>53409441.145700201</v>
      </c>
      <c r="P20" s="227">
        <v>46270904.729000144</v>
      </c>
      <c r="Q20" s="227">
        <f t="shared" ref="Q20:Q23" si="50">SUM(M20:P20)</f>
        <v>174521103.78170055</v>
      </c>
      <c r="R20" s="227">
        <v>48960168.17800013</v>
      </c>
      <c r="S20" s="227">
        <v>50469732.223000169</v>
      </c>
      <c r="T20" s="227">
        <v>56785709.88300015</v>
      </c>
      <c r="U20" s="227">
        <v>60806769.370000079</v>
      </c>
      <c r="V20" s="227">
        <v>217022379.65400052</v>
      </c>
      <c r="W20" s="227">
        <v>59379278.183000065</v>
      </c>
      <c r="X20" s="227">
        <v>61871106.508000083</v>
      </c>
      <c r="Y20" s="227">
        <v>60901919.883000091</v>
      </c>
      <c r="Z20" s="227">
        <v>58342695.831999943</v>
      </c>
      <c r="AA20" s="227">
        <v>240495000.4060002</v>
      </c>
      <c r="AB20" s="139"/>
      <c r="AC20" s="2"/>
      <c r="AD20" s="139"/>
      <c r="AE20" s="2"/>
      <c r="AF20" s="139"/>
      <c r="AH20" s="246"/>
      <c r="AJ20" s="75"/>
      <c r="AK20" s="75"/>
    </row>
    <row r="21" spans="2:37" ht="12.75" x14ac:dyDescent="0.2">
      <c r="B21" s="219" t="s">
        <v>230</v>
      </c>
      <c r="C21" s="221">
        <v>9007.6500000000015</v>
      </c>
      <c r="D21" s="221">
        <v>9298.0000000000018</v>
      </c>
      <c r="E21" s="221">
        <v>8662.9500000000007</v>
      </c>
      <c r="F21" s="221">
        <v>7814.7999999999993</v>
      </c>
      <c r="G21" s="221">
        <f t="shared" si="48"/>
        <v>34783.4</v>
      </c>
      <c r="H21" s="221">
        <v>8142</v>
      </c>
      <c r="I21" s="222">
        <v>6833</v>
      </c>
      <c r="J21" s="222">
        <v>7766</v>
      </c>
      <c r="K21" s="227">
        <v>8392.3499999999913</v>
      </c>
      <c r="L21" s="227">
        <f t="shared" si="49"/>
        <v>31133.349999999991</v>
      </c>
      <c r="M21" s="227">
        <v>7003.4999999999991</v>
      </c>
      <c r="N21" s="227">
        <v>8038.6</v>
      </c>
      <c r="O21" s="227">
        <v>8051.1000000000013</v>
      </c>
      <c r="P21" s="227">
        <v>7693.7000000000016</v>
      </c>
      <c r="Q21" s="227">
        <f t="shared" si="50"/>
        <v>30786.9</v>
      </c>
      <c r="R21" s="227">
        <v>7821.7500000000018</v>
      </c>
      <c r="S21" s="227">
        <v>7518.4000000000015</v>
      </c>
      <c r="T21" s="227">
        <v>7594.0500000000011</v>
      </c>
      <c r="U21" s="227">
        <v>8678.15</v>
      </c>
      <c r="V21" s="227">
        <v>31612.350000000006</v>
      </c>
      <c r="W21" s="227">
        <v>8377.7999999999975</v>
      </c>
      <c r="X21" s="227">
        <v>8907.4000000000015</v>
      </c>
      <c r="Y21" s="227">
        <v>10253.85</v>
      </c>
      <c r="Z21" s="227">
        <v>11129.75</v>
      </c>
      <c r="AA21" s="227">
        <v>38668.799999999996</v>
      </c>
      <c r="AB21" s="139"/>
      <c r="AC21" s="2"/>
      <c r="AD21" s="139"/>
      <c r="AE21" s="2"/>
      <c r="AF21" s="139"/>
      <c r="AH21" s="244"/>
    </row>
    <row r="22" spans="2:37" ht="12.75" x14ac:dyDescent="0.2">
      <c r="B22" s="219" t="s">
        <v>231</v>
      </c>
      <c r="C22" s="221">
        <v>13124.366</v>
      </c>
      <c r="D22" s="221">
        <v>7500.2289999999994</v>
      </c>
      <c r="E22" s="221">
        <v>8441.005000000001</v>
      </c>
      <c r="F22" s="221">
        <v>9689.8050000000003</v>
      </c>
      <c r="G22" s="221">
        <f t="shared" si="48"/>
        <v>38755.404999999999</v>
      </c>
      <c r="H22" s="221">
        <v>5225</v>
      </c>
      <c r="I22" s="222">
        <v>4033</v>
      </c>
      <c r="J22" s="222">
        <v>4759</v>
      </c>
      <c r="K22" s="227">
        <v>4508.5740000000005</v>
      </c>
      <c r="L22" s="227">
        <f t="shared" si="49"/>
        <v>18525.574000000001</v>
      </c>
      <c r="M22" s="227">
        <v>6071.5969999999998</v>
      </c>
      <c r="N22" s="227">
        <v>5575.7790000000005</v>
      </c>
      <c r="O22" s="227">
        <v>5438.9129999999986</v>
      </c>
      <c r="P22" s="227">
        <v>7646.5930000000008</v>
      </c>
      <c r="Q22" s="227">
        <f t="shared" si="50"/>
        <v>24732.881999999998</v>
      </c>
      <c r="R22" s="227">
        <v>12155.291929149998</v>
      </c>
      <c r="S22" s="227">
        <v>6847.0809999999992</v>
      </c>
      <c r="T22" s="227">
        <v>30889.347000000002</v>
      </c>
      <c r="U22" s="227">
        <v>68002.765999999974</v>
      </c>
      <c r="V22" s="227">
        <v>117894.48592914997</v>
      </c>
      <c r="W22" s="227">
        <v>15363.408999999998</v>
      </c>
      <c r="X22" s="227">
        <v>10364.107000000002</v>
      </c>
      <c r="Y22" s="227">
        <v>11092.316999999999</v>
      </c>
      <c r="Z22" s="227">
        <v>8576.9189999999999</v>
      </c>
      <c r="AA22" s="227">
        <v>45396.752</v>
      </c>
      <c r="AB22" s="139"/>
      <c r="AC22" s="2"/>
      <c r="AD22" s="139"/>
      <c r="AE22" s="2"/>
      <c r="AF22" s="139"/>
      <c r="AH22" s="245"/>
    </row>
    <row r="23" spans="2:37" ht="12.75" x14ac:dyDescent="0.2">
      <c r="B23" s="223" t="s">
        <v>232</v>
      </c>
      <c r="C23" s="224">
        <v>11113174.231000002</v>
      </c>
      <c r="D23" s="224">
        <v>11376366.989000002</v>
      </c>
      <c r="E23" s="224">
        <v>12392469.461000001</v>
      </c>
      <c r="F23" s="224">
        <v>11950161.360000003</v>
      </c>
      <c r="G23" s="224">
        <f t="shared" si="48"/>
        <v>46832172.041000009</v>
      </c>
      <c r="H23" s="224">
        <v>12740840</v>
      </c>
      <c r="I23" s="225">
        <v>16432000</v>
      </c>
      <c r="J23" s="225">
        <v>11773193</v>
      </c>
      <c r="K23" s="228">
        <v>11579800.640000001</v>
      </c>
      <c r="L23" s="228">
        <f t="shared" si="49"/>
        <v>52525833.640000001</v>
      </c>
      <c r="M23" s="228">
        <v>11158985.635</v>
      </c>
      <c r="N23" s="228">
        <v>10813056.409</v>
      </c>
      <c r="O23" s="228">
        <v>10901705.693999998</v>
      </c>
      <c r="P23" s="228">
        <v>11958880.807999998</v>
      </c>
      <c r="Q23" s="228">
        <f t="shared" si="50"/>
        <v>44832628.545999996</v>
      </c>
      <c r="R23" s="228">
        <v>12422682.143999998</v>
      </c>
      <c r="S23" s="228">
        <v>11009288.774999999</v>
      </c>
      <c r="T23" s="228">
        <v>11320925.339</v>
      </c>
      <c r="U23" s="228">
        <v>11217522.601</v>
      </c>
      <c r="V23" s="228">
        <v>45970418.858999997</v>
      </c>
      <c r="W23" s="228">
        <v>12613333.845000001</v>
      </c>
      <c r="X23" s="228">
        <v>12680806.828000002</v>
      </c>
      <c r="Y23" s="228">
        <v>12978314.913000003</v>
      </c>
      <c r="Z23" s="228">
        <v>14051609.402000003</v>
      </c>
      <c r="AA23" s="228">
        <v>52324064.988000005</v>
      </c>
      <c r="AB23" s="139"/>
      <c r="AC23" s="2"/>
      <c r="AD23" s="139"/>
      <c r="AE23" s="2"/>
      <c r="AF23" s="139"/>
      <c r="AH23" s="245"/>
    </row>
    <row r="24" spans="2:37" ht="12.75" x14ac:dyDescent="0.2">
      <c r="B24" s="152"/>
      <c r="AH24" s="246"/>
      <c r="AJ24" s="75"/>
      <c r="AK24" s="75"/>
    </row>
  </sheetData>
  <mergeCells count="2">
    <mergeCell ref="AB4:AC4"/>
    <mergeCell ref="AD4:AE4"/>
  </mergeCells>
  <pageMargins left="0.7" right="0.7" top="0.75" bottom="0.75" header="0.3" footer="0.3"/>
  <pageSetup orientation="portrait" horizontalDpi="1200" verticalDpi="1200" r:id="rId1"/>
  <ignoredErrors>
    <ignoredError sqref="G13 K1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CBF8119AA9641923D0AE9145F3CAD" ma:contentTypeVersion="9" ma:contentTypeDescription="Create a new document." ma:contentTypeScope="" ma:versionID="7a78356a9be954b633de71761fb39738">
  <xsd:schema xmlns:xsd="http://www.w3.org/2001/XMLSchema" xmlns:xs="http://www.w3.org/2001/XMLSchema" xmlns:p="http://schemas.microsoft.com/office/2006/metadata/properties" xmlns:ns1="http://schemas.microsoft.com/sharepoint/v3" xmlns:ns2="a81bb348-8ee9-4097-92ba-693a2f35bfaa" targetNamespace="http://schemas.microsoft.com/office/2006/metadata/properties" ma:root="true" ma:fieldsID="614773b181515c8a10f32413014b2258" ns1:_="" ns2:_="">
    <xsd:import namespace="http://schemas.microsoft.com/sharepoint/v3"/>
    <xsd:import namespace="a81bb348-8ee9-4097-92ba-693a2f35bf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bb348-8ee9-4097-92ba-693a2f35bf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2393E1-24B7-4AEF-9432-DD417C7CE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1bb348-8ee9-4097-92ba-693a2f35bf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5BA8FC-D23C-4F93-A85B-8CB4C25C10C8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a81bb348-8ee9-4097-92ba-693a2f35bfaa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A331388-BAE5-410E-8154-30D3AA1669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2025 IR Data Book</vt:lpstr>
      <vt:lpstr>Contents</vt:lpstr>
      <vt:lpstr>Group Profit &amp; Loss Stm</vt:lpstr>
      <vt:lpstr>Group Balance Sheet</vt:lpstr>
      <vt:lpstr>Group CF and CAPEX</vt:lpstr>
      <vt:lpstr>Aramex Courier</vt:lpstr>
      <vt:lpstr>Aramex Express+Parcel Forwardin</vt:lpstr>
      <vt:lpstr>Aramex Domestic</vt:lpstr>
      <vt:lpstr>Aramex Freight</vt:lpstr>
      <vt:lpstr>Aramex Logistics</vt:lpstr>
      <vt:lpstr>Regional Breakdown</vt:lpstr>
      <vt:lpstr>Historic_Product_Breakdown</vt:lpstr>
      <vt:lpstr>Historic Express Rev_Vol_ Data</vt:lpstr>
      <vt:lpstr>Key figures and ratios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Usman Syed</dc:creator>
  <cp:keywords/>
  <dc:description/>
  <cp:lastModifiedBy>Mohammad Saquib</cp:lastModifiedBy>
  <cp:revision/>
  <cp:lastPrinted>2025-07-25T10:20:49Z</cp:lastPrinted>
  <dcterms:created xsi:type="dcterms:W3CDTF">2021-07-29T06:01:51Z</dcterms:created>
  <dcterms:modified xsi:type="dcterms:W3CDTF">2026-02-10T10:13:08Z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0x01010023BCBF8119AA9641923D0AE9145F3CAD</vt:lpwstr>
  </property>
  <property fmtid="{D5CDD505-2E9C-101B-9397-08002B2CF9AE}" pid="3" name="MSIP_Label_5c15bd85-9f84-4ab9-b6e1-ccb9127e3d2a_Enabled">
    <vt:lpwstr>true</vt:lpwstr>
  </property>
  <property fmtid="{D5CDD505-2E9C-101B-9397-08002B2CF9AE}" pid="4" name="MSIP_Label_5c15bd85-9f84-4ab9-b6e1-ccb9127e3d2a_SetDate">
    <vt:lpwstr>2022-01-14T10:55:21Z</vt:lpwstr>
  </property>
  <property fmtid="{D5CDD505-2E9C-101B-9397-08002B2CF9AE}" pid="5" name="MSIP_Label_5c15bd85-9f84-4ab9-b6e1-ccb9127e3d2a_Method">
    <vt:lpwstr>Privileged</vt:lpwstr>
  </property>
  <property fmtid="{D5CDD505-2E9C-101B-9397-08002B2CF9AE}" pid="6" name="MSIP_Label_5c15bd85-9f84-4ab9-b6e1-ccb9127e3d2a_Name">
    <vt:lpwstr>Internal Classification</vt:lpwstr>
  </property>
  <property fmtid="{D5CDD505-2E9C-101B-9397-08002B2CF9AE}" pid="7" name="MSIP_Label_5c15bd85-9f84-4ab9-b6e1-ccb9127e3d2a_SiteId">
    <vt:lpwstr>43aa4ce1-f125-4390-a30c-5375aae87717</vt:lpwstr>
  </property>
  <property fmtid="{D5CDD505-2E9C-101B-9397-08002B2CF9AE}" pid="8" name="MSIP_Label_5c15bd85-9f84-4ab9-b6e1-ccb9127e3d2a_ActionId">
    <vt:lpwstr>d254e9e8-ade7-4e39-9d22-6a4a2f08937a</vt:lpwstr>
  </property>
  <property fmtid="{D5CDD505-2E9C-101B-9397-08002B2CF9AE}" pid="9" name="MSIP_Label_5c15bd85-9f84-4ab9-b6e1-ccb9127e3d2a_ContentBits">
    <vt:lpwstr>0</vt:lpwstr>
  </property>
</Properties>
</file>