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.sharepoint.com/sites/Finance/docs/presentations/Investors Presentation/2024/Q3/"/>
    </mc:Choice>
  </mc:AlternateContent>
  <xr:revisionPtr revIDLastSave="0" documentId="8_{65E75130-9AE7-4DBF-9A07-A8D0ED0EA036}" xr6:coauthVersionLast="47" xr6:coauthVersionMax="47" xr10:uidLastSave="{00000000-0000-0000-0000-000000000000}"/>
  <bookViews>
    <workbookView xWindow="-120" yWindow="-120" windowWidth="20730" windowHeight="11160" tabRatio="914" xr2:uid="{57DDC26A-0058-42D3-AF50-F9A5729AB588}"/>
  </bookViews>
  <sheets>
    <sheet name="2024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Parcel Forwardin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13" l="1"/>
  <c r="U19" i="13"/>
  <c r="L37" i="6" l="1"/>
  <c r="K37" i="6"/>
  <c r="L36" i="6"/>
  <c r="K36" i="6"/>
  <c r="N168" i="9" l="1"/>
  <c r="L168" i="9"/>
  <c r="E168" i="9"/>
  <c r="C168" i="9"/>
  <c r="N167" i="9"/>
  <c r="L167" i="9"/>
  <c r="E167" i="9"/>
  <c r="C167" i="9"/>
  <c r="N147" i="9"/>
  <c r="L147" i="9"/>
  <c r="E147" i="9"/>
  <c r="C147" i="9"/>
  <c r="N146" i="9"/>
  <c r="L146" i="9"/>
  <c r="E146" i="9"/>
  <c r="C146" i="9"/>
  <c r="N126" i="9"/>
  <c r="L126" i="9"/>
  <c r="E126" i="9"/>
  <c r="C126" i="9"/>
  <c r="N125" i="9"/>
  <c r="L125" i="9"/>
  <c r="E125" i="9"/>
  <c r="C125" i="9"/>
  <c r="N105" i="9"/>
  <c r="L105" i="9"/>
  <c r="E105" i="9"/>
  <c r="C105" i="9"/>
  <c r="N104" i="9"/>
  <c r="L104" i="9"/>
  <c r="E104" i="9"/>
  <c r="C104" i="9"/>
  <c r="N84" i="9"/>
  <c r="L84" i="9"/>
  <c r="E84" i="9"/>
  <c r="C84" i="9"/>
  <c r="N83" i="9"/>
  <c r="L83" i="9"/>
  <c r="E83" i="9"/>
  <c r="C83" i="9"/>
  <c r="N63" i="9"/>
  <c r="L63" i="9"/>
  <c r="E63" i="9"/>
  <c r="C63" i="9"/>
  <c r="N62" i="9"/>
  <c r="L62" i="9"/>
  <c r="E62" i="9"/>
  <c r="C62" i="9"/>
  <c r="N42" i="9"/>
  <c r="L42" i="9"/>
  <c r="E42" i="9"/>
  <c r="C42" i="9"/>
  <c r="N41" i="9"/>
  <c r="L41" i="9"/>
  <c r="E41" i="9"/>
  <c r="C41" i="9"/>
  <c r="N21" i="9"/>
  <c r="L21" i="9"/>
  <c r="E21" i="9"/>
  <c r="C21" i="9"/>
  <c r="N20" i="9"/>
  <c r="L20" i="9"/>
  <c r="E20" i="9"/>
  <c r="C20" i="9"/>
  <c r="Q5" i="22" l="1"/>
  <c r="W23" i="14" l="1"/>
  <c r="X23" i="14" s="1"/>
  <c r="U23" i="14"/>
  <c r="V23" i="14" s="1"/>
  <c r="W22" i="14"/>
  <c r="X22" i="14" s="1"/>
  <c r="U22" i="14"/>
  <c r="V22" i="14" s="1"/>
  <c r="W21" i="14"/>
  <c r="X21" i="14" s="1"/>
  <c r="U21" i="14"/>
  <c r="V21" i="14" s="1"/>
  <c r="W20" i="14"/>
  <c r="X20" i="14" s="1"/>
  <c r="U20" i="14"/>
  <c r="V20" i="14" s="1"/>
  <c r="W19" i="14"/>
  <c r="X19" i="14" s="1"/>
  <c r="U19" i="14"/>
  <c r="V19" i="14" s="1"/>
  <c r="T14" i="25"/>
  <c r="T15" i="25" s="1"/>
  <c r="U15" i="25" s="1"/>
  <c r="T15" i="24"/>
  <c r="T16" i="24" s="1"/>
  <c r="T21" i="13"/>
  <c r="W15" i="25" l="1"/>
  <c r="S14" i="25" l="1"/>
  <c r="S15" i="24"/>
  <c r="K190" i="9" l="1"/>
  <c r="K172" i="9"/>
  <c r="K151" i="9"/>
  <c r="K130" i="9"/>
  <c r="K109" i="9"/>
  <c r="K88" i="9"/>
  <c r="K67" i="9"/>
  <c r="K46" i="9"/>
  <c r="K25" i="9"/>
  <c r="B25" i="9"/>
  <c r="N193" i="9" l="1"/>
  <c r="L193" i="9"/>
  <c r="N175" i="9"/>
  <c r="L175" i="9"/>
  <c r="N166" i="9"/>
  <c r="L166" i="9"/>
  <c r="N154" i="9"/>
  <c r="L154" i="9"/>
  <c r="N145" i="9"/>
  <c r="L145" i="9"/>
  <c r="N133" i="9"/>
  <c r="L133" i="9"/>
  <c r="N124" i="9"/>
  <c r="L124" i="9"/>
  <c r="N112" i="9"/>
  <c r="L112" i="9"/>
  <c r="N103" i="9"/>
  <c r="L103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N43" i="9"/>
  <c r="L169" i="9"/>
  <c r="L127" i="9"/>
  <c r="L85" i="9"/>
  <c r="L43" i="9"/>
  <c r="N148" i="9" l="1"/>
  <c r="L106" i="9"/>
  <c r="L148" i="9"/>
  <c r="L64" i="9"/>
  <c r="L210" i="9"/>
  <c r="L213" i="9" s="1"/>
  <c r="N210" i="9"/>
  <c r="N213" i="9" s="1"/>
  <c r="N106" i="9"/>
  <c r="N169" i="9"/>
  <c r="N127" i="9"/>
  <c r="N64" i="9"/>
  <c r="N209" i="9"/>
  <c r="N212" i="9" s="1"/>
  <c r="N85" i="9"/>
  <c r="N22" i="9"/>
  <c r="L209" i="9"/>
  <c r="L212" i="9" s="1"/>
  <c r="L22" i="9"/>
  <c r="L238" i="9" l="1"/>
  <c r="L224" i="9"/>
  <c r="S15" i="25" l="1"/>
  <c r="S16" i="24"/>
  <c r="S21" i="13"/>
  <c r="J37" i="6" l="1"/>
  <c r="J36" i="6"/>
  <c r="N37" i="6" l="1"/>
  <c r="F35" i="6"/>
  <c r="M35" i="6"/>
  <c r="K35" i="6"/>
  <c r="J35" i="6"/>
  <c r="L35" i="6"/>
  <c r="N34" i="6"/>
  <c r="M34" i="6"/>
  <c r="L34" i="6"/>
  <c r="K34" i="6"/>
  <c r="J34" i="6"/>
  <c r="R15" i="25"/>
  <c r="R16" i="24"/>
  <c r="R21" i="13"/>
  <c r="N36" i="6" l="1"/>
  <c r="N35" i="6" s="1"/>
  <c r="M32" i="6" l="1"/>
  <c r="M31" i="6"/>
  <c r="M30" i="6" l="1"/>
  <c r="B265" i="9"/>
  <c r="B255" i="9"/>
  <c r="B247" i="9"/>
  <c r="B238" i="9"/>
  <c r="K247" i="9"/>
  <c r="K238" i="9"/>
  <c r="Q18" i="14"/>
  <c r="Q23" i="14"/>
  <c r="Q22" i="14"/>
  <c r="Q21" i="14"/>
  <c r="Q20" i="14"/>
  <c r="Q19" i="14"/>
  <c r="Q14" i="25"/>
  <c r="Q15" i="25" s="1"/>
  <c r="Q15" i="24"/>
  <c r="Q20" i="13"/>
  <c r="Q19" i="13"/>
  <c r="P15" i="25"/>
  <c r="P16" i="24"/>
  <c r="P21" i="13"/>
  <c r="Q16" i="24" l="1"/>
  <c r="Q21" i="13"/>
  <c r="L32" i="6" l="1"/>
  <c r="L31" i="6"/>
  <c r="K32" i="6"/>
  <c r="O15" i="25" l="1"/>
  <c r="O16" i="24"/>
  <c r="O21" i="13" l="1"/>
  <c r="K31" i="6" l="1"/>
  <c r="J31" i="6"/>
  <c r="J32" i="6"/>
  <c r="N15" i="25"/>
  <c r="N16" i="24"/>
  <c r="N21" i="13" l="1"/>
  <c r="N29" i="6" l="1"/>
  <c r="M29" i="6"/>
  <c r="L29" i="6"/>
  <c r="K29" i="6"/>
  <c r="J29" i="6"/>
  <c r="L30" i="6"/>
  <c r="K30" i="6"/>
  <c r="M15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4" i="25" l="1"/>
  <c r="L15" i="25" s="1"/>
  <c r="G14" i="25"/>
  <c r="G15" i="25" s="1"/>
  <c r="G20" i="13"/>
  <c r="G19" i="13"/>
  <c r="G15" i="24"/>
  <c r="G21" i="13" l="1"/>
  <c r="G16" i="24"/>
  <c r="K15" i="25" l="1"/>
  <c r="K16" i="24"/>
  <c r="N31" i="6" l="1"/>
  <c r="K21" i="13"/>
  <c r="P168" i="9" l="1"/>
  <c r="P147" i="9"/>
  <c r="P126" i="9"/>
  <c r="P105" i="9"/>
  <c r="L244" i="9" l="1"/>
  <c r="M244" i="9" s="1"/>
  <c r="L245" i="9"/>
  <c r="M245" i="9" s="1"/>
  <c r="L243" i="9"/>
  <c r="M243" i="9" s="1"/>
  <c r="L246" i="9"/>
  <c r="M246" i="9" s="1"/>
  <c r="J15" i="25"/>
  <c r="I15" i="25"/>
  <c r="F15" i="25"/>
  <c r="E15" i="25"/>
  <c r="D15" i="25"/>
  <c r="C15" i="25"/>
  <c r="H15" i="25"/>
  <c r="J16" i="24" l="1"/>
  <c r="I16" i="24"/>
  <c r="F16" i="24"/>
  <c r="E16" i="24"/>
  <c r="D16" i="24"/>
  <c r="C16" i="24"/>
  <c r="H15" i="24"/>
  <c r="L15" i="24" l="1"/>
  <c r="H16" i="24"/>
  <c r="L16" i="24" l="1"/>
  <c r="J21" i="13" l="1"/>
  <c r="A5" i="5" l="1"/>
  <c r="A4" i="5"/>
  <c r="A2" i="5"/>
  <c r="M29" i="12" l="1"/>
  <c r="M59" i="12"/>
  <c r="S27" i="11"/>
  <c r="N16" i="9"/>
  <c r="N179" i="9"/>
  <c r="N160" i="9"/>
  <c r="N156" i="9"/>
  <c r="N137" i="9"/>
  <c r="N118" i="9"/>
  <c r="N114" i="9"/>
  <c r="N95" i="9"/>
  <c r="N76" i="9"/>
  <c r="N72" i="9"/>
  <c r="N53" i="9"/>
  <c r="N34" i="9"/>
  <c r="N30" i="9"/>
  <c r="L10" i="9"/>
  <c r="N139" i="9"/>
  <c r="N135" i="9"/>
  <c r="N97" i="9"/>
  <c r="N51" i="9"/>
  <c r="L177" i="9"/>
  <c r="L135" i="9"/>
  <c r="L74" i="9"/>
  <c r="N11" i="9"/>
  <c r="L179" i="9"/>
  <c r="L160" i="9"/>
  <c r="L156" i="9"/>
  <c r="L137" i="9"/>
  <c r="L118" i="9"/>
  <c r="L114" i="9"/>
  <c r="L95" i="9"/>
  <c r="L76" i="9"/>
  <c r="L72" i="9"/>
  <c r="L53" i="9"/>
  <c r="L34" i="9"/>
  <c r="L30" i="9"/>
  <c r="N9" i="9"/>
  <c r="N158" i="9"/>
  <c r="N116" i="9"/>
  <c r="N55" i="9"/>
  <c r="L8" i="9"/>
  <c r="L139" i="9"/>
  <c r="L32" i="9"/>
  <c r="N185" i="9"/>
  <c r="N178" i="9"/>
  <c r="N159" i="9"/>
  <c r="N143" i="9"/>
  <c r="N136" i="9"/>
  <c r="N117" i="9"/>
  <c r="N101" i="9"/>
  <c r="N94" i="9"/>
  <c r="N75" i="9"/>
  <c r="N59" i="9"/>
  <c r="N52" i="9"/>
  <c r="N33" i="9"/>
  <c r="L16" i="9"/>
  <c r="L9" i="9"/>
  <c r="N177" i="9"/>
  <c r="N93" i="9"/>
  <c r="N32" i="9"/>
  <c r="L181" i="9"/>
  <c r="L116" i="9"/>
  <c r="L55" i="9"/>
  <c r="L185" i="9"/>
  <c r="L178" i="9"/>
  <c r="Q178" i="9" s="1"/>
  <c r="L159" i="9"/>
  <c r="L143" i="9"/>
  <c r="L136" i="9"/>
  <c r="L117" i="9"/>
  <c r="L101" i="9"/>
  <c r="L94" i="9"/>
  <c r="L75" i="9"/>
  <c r="L59" i="9"/>
  <c r="L52" i="9"/>
  <c r="L33" i="9"/>
  <c r="N12" i="9"/>
  <c r="N8" i="9"/>
  <c r="N181" i="9"/>
  <c r="N74" i="9"/>
  <c r="L12" i="9"/>
  <c r="L158" i="9"/>
  <c r="L51" i="9"/>
  <c r="N180" i="9"/>
  <c r="N164" i="9"/>
  <c r="N157" i="9"/>
  <c r="N138" i="9"/>
  <c r="N122" i="9"/>
  <c r="N115" i="9"/>
  <c r="N96" i="9"/>
  <c r="N80" i="9"/>
  <c r="N73" i="9"/>
  <c r="N54" i="9"/>
  <c r="N38" i="9"/>
  <c r="N31" i="9"/>
  <c r="L11" i="9"/>
  <c r="L93" i="9"/>
  <c r="L180" i="9"/>
  <c r="L164" i="9"/>
  <c r="L157" i="9"/>
  <c r="L138" i="9"/>
  <c r="L122" i="9"/>
  <c r="L115" i="9"/>
  <c r="L96" i="9"/>
  <c r="L80" i="9"/>
  <c r="L73" i="9"/>
  <c r="L54" i="9"/>
  <c r="L38" i="9"/>
  <c r="L31" i="9"/>
  <c r="N10" i="9"/>
  <c r="L97" i="9"/>
  <c r="E185" i="9"/>
  <c r="E178" i="9"/>
  <c r="E159" i="9"/>
  <c r="E143" i="9"/>
  <c r="E136" i="9"/>
  <c r="E117" i="9"/>
  <c r="E101" i="9"/>
  <c r="E94" i="9"/>
  <c r="E75" i="9"/>
  <c r="E59" i="9"/>
  <c r="E52" i="9"/>
  <c r="E33" i="9"/>
  <c r="E16" i="9"/>
  <c r="E9" i="9"/>
  <c r="E122" i="9"/>
  <c r="E31" i="9"/>
  <c r="C157" i="9"/>
  <c r="C80" i="9"/>
  <c r="C185" i="9"/>
  <c r="C178" i="9"/>
  <c r="C159" i="9"/>
  <c r="C143" i="9"/>
  <c r="C136" i="9"/>
  <c r="C117" i="9"/>
  <c r="C101" i="9"/>
  <c r="C94" i="9"/>
  <c r="C75" i="9"/>
  <c r="C59" i="9"/>
  <c r="C52" i="9"/>
  <c r="C33" i="9"/>
  <c r="C16" i="9"/>
  <c r="C9" i="9"/>
  <c r="E115" i="9"/>
  <c r="C138" i="9"/>
  <c r="C54" i="9"/>
  <c r="E181" i="9"/>
  <c r="E177" i="9"/>
  <c r="E158" i="9"/>
  <c r="E139" i="9"/>
  <c r="E135" i="9"/>
  <c r="E116" i="9"/>
  <c r="E97" i="9"/>
  <c r="E93" i="9"/>
  <c r="E74" i="9"/>
  <c r="E55" i="9"/>
  <c r="E51" i="9"/>
  <c r="E32" i="9"/>
  <c r="E12" i="9"/>
  <c r="E8" i="9"/>
  <c r="E180" i="9"/>
  <c r="E138" i="9"/>
  <c r="E73" i="9"/>
  <c r="R14" i="11"/>
  <c r="C181" i="9"/>
  <c r="C177" i="9"/>
  <c r="C158" i="9"/>
  <c r="C139" i="9"/>
  <c r="C135" i="9"/>
  <c r="C116" i="9"/>
  <c r="C97" i="9"/>
  <c r="C93" i="9"/>
  <c r="C74" i="9"/>
  <c r="C55" i="9"/>
  <c r="C51" i="9"/>
  <c r="C32" i="9"/>
  <c r="C12" i="9"/>
  <c r="C8" i="9"/>
  <c r="E164" i="9"/>
  <c r="E80" i="9"/>
  <c r="E11" i="9"/>
  <c r="C180" i="9"/>
  <c r="C115" i="9"/>
  <c r="C73" i="9"/>
  <c r="C11" i="9"/>
  <c r="E179" i="9"/>
  <c r="E160" i="9"/>
  <c r="E156" i="9"/>
  <c r="E137" i="9"/>
  <c r="E118" i="9"/>
  <c r="E114" i="9"/>
  <c r="E95" i="9"/>
  <c r="E76" i="9"/>
  <c r="E72" i="9"/>
  <c r="E53" i="9"/>
  <c r="E34" i="9"/>
  <c r="E30" i="9"/>
  <c r="E10" i="9"/>
  <c r="C76" i="9"/>
  <c r="C53" i="9"/>
  <c r="C30" i="9"/>
  <c r="E157" i="9"/>
  <c r="E54" i="9"/>
  <c r="C164" i="9"/>
  <c r="C96" i="9"/>
  <c r="C31" i="9"/>
  <c r="C179" i="9"/>
  <c r="C160" i="9"/>
  <c r="C156" i="9"/>
  <c r="C137" i="9"/>
  <c r="C118" i="9"/>
  <c r="C114" i="9"/>
  <c r="C95" i="9"/>
  <c r="C72" i="9"/>
  <c r="C34" i="9"/>
  <c r="C10" i="9"/>
  <c r="E96" i="9"/>
  <c r="E38" i="9"/>
  <c r="C122" i="9"/>
  <c r="C38" i="9"/>
  <c r="H172" i="7"/>
  <c r="H173" i="7"/>
  <c r="H174" i="7" s="1"/>
  <c r="H175" i="7"/>
  <c r="H176" i="7" s="1"/>
  <c r="H177" i="7"/>
  <c r="H178" i="7" s="1"/>
  <c r="Q66" i="12"/>
  <c r="Q51" i="12"/>
  <c r="Q64" i="12"/>
  <c r="Q50" i="12"/>
  <c r="Q52" i="12"/>
  <c r="Q63" i="12"/>
  <c r="Q48" i="12"/>
  <c r="Q46" i="12"/>
  <c r="Q61" i="12"/>
  <c r="Q41" i="12"/>
  <c r="Q62" i="12"/>
  <c r="Q45" i="12"/>
  <c r="Q60" i="12"/>
  <c r="Q44" i="12"/>
  <c r="Q59" i="12"/>
  <c r="Q43" i="12"/>
  <c r="Q67" i="12"/>
  <c r="T14" i="15"/>
  <c r="T12" i="14"/>
  <c r="T7" i="24"/>
  <c r="Q47" i="12"/>
  <c r="Q26" i="12"/>
  <c r="Q13" i="12"/>
  <c r="Q49" i="12"/>
  <c r="Q51" i="10"/>
  <c r="Q37" i="10"/>
  <c r="Q28" i="10"/>
  <c r="Q14" i="10"/>
  <c r="T36" i="11"/>
  <c r="T18" i="11"/>
  <c r="T12" i="15"/>
  <c r="T11" i="14"/>
  <c r="U11" i="14" s="1"/>
  <c r="V11" i="14" s="1"/>
  <c r="Q40" i="12"/>
  <c r="Q79" i="12" s="1"/>
  <c r="Q22" i="12"/>
  <c r="Q12" i="12"/>
  <c r="Q42" i="12"/>
  <c r="Q50" i="10"/>
  <c r="Q36" i="10"/>
  <c r="Q38" i="10" s="1"/>
  <c r="Q27" i="10"/>
  <c r="T33" i="11"/>
  <c r="Q21" i="10"/>
  <c r="T8" i="25"/>
  <c r="Q9" i="12"/>
  <c r="Q20" i="10"/>
  <c r="T11" i="15"/>
  <c r="T8" i="14"/>
  <c r="T15" i="13"/>
  <c r="Q36" i="12"/>
  <c r="Q21" i="12"/>
  <c r="Q11" i="12"/>
  <c r="Q20" i="12"/>
  <c r="Q49" i="10"/>
  <c r="Q34" i="10"/>
  <c r="Q23" i="10"/>
  <c r="Q12" i="10"/>
  <c r="T32" i="11"/>
  <c r="T14" i="11"/>
  <c r="T8" i="15"/>
  <c r="T7" i="14"/>
  <c r="T13" i="13"/>
  <c r="Q35" i="12"/>
  <c r="Q19" i="12"/>
  <c r="Q10" i="12"/>
  <c r="Q17" i="12"/>
  <c r="Q46" i="10"/>
  <c r="T27" i="11"/>
  <c r="U27" i="11" s="1"/>
  <c r="T12" i="13"/>
  <c r="Q56" i="10"/>
  <c r="Q10" i="10"/>
  <c r="T7" i="25"/>
  <c r="T8" i="13"/>
  <c r="Q29" i="12"/>
  <c r="Q16" i="12"/>
  <c r="Q4" i="12"/>
  <c r="Q54" i="10"/>
  <c r="Q44" i="10"/>
  <c r="Q31" i="10"/>
  <c r="Q19" i="10"/>
  <c r="Q9" i="10"/>
  <c r="T22" i="11"/>
  <c r="U22" i="11" s="1"/>
  <c r="V22" i="11" s="1"/>
  <c r="T11" i="11"/>
  <c r="T8" i="24"/>
  <c r="Q52" i="10"/>
  <c r="Q29" i="10"/>
  <c r="Q7" i="10"/>
  <c r="T8" i="11"/>
  <c r="T15" i="11"/>
  <c r="Q11" i="10"/>
  <c r="T7" i="15"/>
  <c r="Q18" i="12"/>
  <c r="Q45" i="10"/>
  <c r="T26" i="11"/>
  <c r="T7" i="13"/>
  <c r="Q28" i="12"/>
  <c r="Q15" i="12"/>
  <c r="Q3" i="12"/>
  <c r="Q5" i="12" s="1"/>
  <c r="Q53" i="10"/>
  <c r="Q43" i="10"/>
  <c r="Q30" i="10"/>
  <c r="Q18" i="10"/>
  <c r="Q8" i="10"/>
  <c r="T20" i="11"/>
  <c r="T9" i="11"/>
  <c r="T14" i="14"/>
  <c r="Q27" i="12"/>
  <c r="Q14" i="12"/>
  <c r="Q65" i="12"/>
  <c r="Q42" i="10"/>
  <c r="Q47" i="10" s="1"/>
  <c r="Q17" i="10"/>
  <c r="T19" i="11"/>
  <c r="Q13" i="10"/>
  <c r="Q33" i="10"/>
  <c r="T13" i="11"/>
  <c r="Q30" i="12"/>
  <c r="Q32" i="10"/>
  <c r="T12" i="11"/>
  <c r="T37" i="11"/>
  <c r="H153" i="7"/>
  <c r="L60" i="12"/>
  <c r="L29" i="12"/>
  <c r="L61" i="12"/>
  <c r="L59" i="12"/>
  <c r="P66" i="12"/>
  <c r="P52" i="12"/>
  <c r="P64" i="12"/>
  <c r="P63" i="12"/>
  <c r="P67" i="12"/>
  <c r="P61" i="12"/>
  <c r="P53" i="12"/>
  <c r="P62" i="12"/>
  <c r="P60" i="12"/>
  <c r="P73" i="12"/>
  <c r="P59" i="12"/>
  <c r="P72" i="12"/>
  <c r="P56" i="10"/>
  <c r="P50" i="10"/>
  <c r="P36" i="10"/>
  <c r="P21" i="10"/>
  <c r="P33" i="10"/>
  <c r="P32" i="10"/>
  <c r="P53" i="10"/>
  <c r="P42" i="10"/>
  <c r="P23" i="10"/>
  <c r="P18" i="10"/>
  <c r="P49" i="10"/>
  <c r="P34" i="10"/>
  <c r="P20" i="10"/>
  <c r="P46" i="10"/>
  <c r="P45" i="10"/>
  <c r="P31" i="10"/>
  <c r="P30" i="10"/>
  <c r="P51" i="10"/>
  <c r="P29" i="10"/>
  <c r="P19" i="10"/>
  <c r="P44" i="10"/>
  <c r="P52" i="10"/>
  <c r="P37" i="10"/>
  <c r="P28" i="10"/>
  <c r="P27" i="10"/>
  <c r="P54" i="10"/>
  <c r="P43" i="10"/>
  <c r="S14" i="15"/>
  <c r="S8" i="14"/>
  <c r="S7" i="25"/>
  <c r="D37" i="6" s="1"/>
  <c r="S14" i="14"/>
  <c r="S11" i="14"/>
  <c r="S12" i="15"/>
  <c r="S7" i="14"/>
  <c r="S7" i="15"/>
  <c r="S12" i="14"/>
  <c r="S11" i="15"/>
  <c r="S8" i="25"/>
  <c r="S7" i="24"/>
  <c r="D36" i="6" s="1"/>
  <c r="S8" i="15"/>
  <c r="S8" i="24"/>
  <c r="S15" i="13"/>
  <c r="S13" i="13"/>
  <c r="S12" i="13"/>
  <c r="S8" i="13"/>
  <c r="S7" i="13"/>
  <c r="P51" i="12"/>
  <c r="P41" i="12"/>
  <c r="P26" i="12"/>
  <c r="P13" i="12"/>
  <c r="P12" i="12"/>
  <c r="P11" i="12"/>
  <c r="P10" i="12"/>
  <c r="P18" i="12"/>
  <c r="P29" i="12"/>
  <c r="P15" i="12"/>
  <c r="P14" i="12"/>
  <c r="P50" i="12"/>
  <c r="P40" i="12"/>
  <c r="P22" i="12"/>
  <c r="P19" i="12"/>
  <c r="P30" i="12"/>
  <c r="P45" i="12"/>
  <c r="P44" i="12"/>
  <c r="P3" i="12"/>
  <c r="P48" i="12"/>
  <c r="P36" i="12"/>
  <c r="P21" i="12"/>
  <c r="P35" i="12"/>
  <c r="P46" i="12"/>
  <c r="P9" i="12"/>
  <c r="P16" i="12"/>
  <c r="P28" i="12"/>
  <c r="P27" i="12"/>
  <c r="P47" i="12"/>
  <c r="P4" i="12"/>
  <c r="P43" i="12"/>
  <c r="P17" i="10"/>
  <c r="P13" i="10"/>
  <c r="P11" i="10"/>
  <c r="P10" i="10"/>
  <c r="P9" i="10"/>
  <c r="P14" i="10"/>
  <c r="P12" i="10"/>
  <c r="P8" i="10"/>
  <c r="P7" i="10"/>
  <c r="S19" i="11"/>
  <c r="S8" i="11"/>
  <c r="H162" i="7"/>
  <c r="S11" i="11"/>
  <c r="S9" i="11"/>
  <c r="S36" i="11"/>
  <c r="S18" i="11"/>
  <c r="H161" i="7"/>
  <c r="S12" i="11"/>
  <c r="S33" i="11"/>
  <c r="S15" i="11"/>
  <c r="S14" i="11"/>
  <c r="S13" i="11"/>
  <c r="S22" i="11"/>
  <c r="H166" i="7"/>
  <c r="S32" i="11"/>
  <c r="H164" i="7"/>
  <c r="S20" i="11"/>
  <c r="S26" i="11"/>
  <c r="P65" i="12"/>
  <c r="P49" i="12"/>
  <c r="S37" i="11"/>
  <c r="P42" i="12"/>
  <c r="P17" i="12"/>
  <c r="P20" i="12"/>
  <c r="O61" i="12"/>
  <c r="O51" i="12"/>
  <c r="O67" i="12"/>
  <c r="O60" i="12"/>
  <c r="O46" i="12"/>
  <c r="O45" i="12"/>
  <c r="O44" i="12"/>
  <c r="O48" i="12"/>
  <c r="O66" i="12"/>
  <c r="O59" i="12"/>
  <c r="O43" i="12"/>
  <c r="O64" i="12"/>
  <c r="O41" i="12"/>
  <c r="O50" i="12"/>
  <c r="O63" i="12"/>
  <c r="R11" i="14"/>
  <c r="R13" i="13"/>
  <c r="O30" i="12"/>
  <c r="O18" i="12"/>
  <c r="O9" i="12"/>
  <c r="O50" i="10"/>
  <c r="O36" i="10"/>
  <c r="O21" i="10"/>
  <c r="O10" i="10"/>
  <c r="O34" i="10"/>
  <c r="O9" i="10"/>
  <c r="O8" i="10"/>
  <c r="O14" i="12"/>
  <c r="O32" i="10"/>
  <c r="O31" i="10"/>
  <c r="O36" i="12"/>
  <c r="R12" i="14"/>
  <c r="H155" i="7"/>
  <c r="R14" i="15"/>
  <c r="R8" i="14"/>
  <c r="R12" i="13"/>
  <c r="O29" i="12"/>
  <c r="O16" i="12"/>
  <c r="O4" i="12"/>
  <c r="O49" i="10"/>
  <c r="O20" i="10"/>
  <c r="O19" i="10"/>
  <c r="R7" i="13"/>
  <c r="O45" i="10"/>
  <c r="O13" i="12"/>
  <c r="R7" i="24"/>
  <c r="O23" i="10"/>
  <c r="R12" i="15"/>
  <c r="R7" i="14"/>
  <c r="R8" i="13"/>
  <c r="O28" i="12"/>
  <c r="O15" i="12"/>
  <c r="O3" i="12"/>
  <c r="O46" i="10"/>
  <c r="O33" i="10"/>
  <c r="O27" i="12"/>
  <c r="O7" i="10"/>
  <c r="O35" i="12"/>
  <c r="H151" i="7"/>
  <c r="R11" i="15"/>
  <c r="R8" i="25"/>
  <c r="O56" i="10"/>
  <c r="O17" i="10"/>
  <c r="O44" i="10"/>
  <c r="O14" i="10"/>
  <c r="O21" i="12"/>
  <c r="O12" i="10"/>
  <c r="O19" i="12"/>
  <c r="O37" i="10"/>
  <c r="H150" i="7"/>
  <c r="R8" i="15"/>
  <c r="R7" i="25"/>
  <c r="O47" i="12"/>
  <c r="O26" i="12"/>
  <c r="O54" i="10"/>
  <c r="O11" i="12"/>
  <c r="O42" i="10"/>
  <c r="R15" i="13"/>
  <c r="O51" i="10"/>
  <c r="O11" i="10"/>
  <c r="R7" i="15"/>
  <c r="R8" i="24"/>
  <c r="O40" i="12"/>
  <c r="O79" i="12" s="1"/>
  <c r="O22" i="12"/>
  <c r="O12" i="12"/>
  <c r="O53" i="10"/>
  <c r="O43" i="10"/>
  <c r="O30" i="10"/>
  <c r="O13" i="10"/>
  <c r="R14" i="14"/>
  <c r="O52" i="10"/>
  <c r="O27" i="10"/>
  <c r="O10" i="12"/>
  <c r="R26" i="11"/>
  <c r="R12" i="11"/>
  <c r="R22" i="11"/>
  <c r="R11" i="11"/>
  <c r="R9" i="11"/>
  <c r="R18" i="11"/>
  <c r="R15" i="11"/>
  <c r="R27" i="11"/>
  <c r="R8" i="11"/>
  <c r="R20" i="11"/>
  <c r="R33" i="11"/>
  <c r="R19" i="11"/>
  <c r="R32" i="11"/>
  <c r="R36" i="11"/>
  <c r="R13" i="11"/>
  <c r="O17" i="12"/>
  <c r="R37" i="11"/>
  <c r="O49" i="12"/>
  <c r="O65" i="12"/>
  <c r="O42" i="12"/>
  <c r="O20" i="12"/>
  <c r="H139" i="7"/>
  <c r="J35" i="12"/>
  <c r="J48" i="12"/>
  <c r="J20" i="12"/>
  <c r="J50" i="12"/>
  <c r="J19" i="12"/>
  <c r="J51" i="12"/>
  <c r="J43" i="12"/>
  <c r="J16" i="12"/>
  <c r="J53" i="12"/>
  <c r="J59" i="12"/>
  <c r="J47" i="12"/>
  <c r="J60" i="12"/>
  <c r="J41" i="12"/>
  <c r="J61" i="12"/>
  <c r="J64" i="12"/>
  <c r="J45" i="12"/>
  <c r="J72" i="12"/>
  <c r="J40" i="12"/>
  <c r="J29" i="12"/>
  <c r="J30" i="12"/>
  <c r="H106" i="7"/>
  <c r="H94" i="7"/>
  <c r="J63" i="12"/>
  <c r="N29" i="12"/>
  <c r="J28" i="12"/>
  <c r="J21" i="12"/>
  <c r="J10" i="12"/>
  <c r="J18" i="12"/>
  <c r="J4" i="12"/>
  <c r="J3" i="12"/>
  <c r="J9" i="12"/>
  <c r="J46" i="10"/>
  <c r="J32" i="10"/>
  <c r="J17" i="10"/>
  <c r="J7" i="10"/>
  <c r="L8" i="11"/>
  <c r="J23" i="10"/>
  <c r="J37" i="10"/>
  <c r="J21" i="10"/>
  <c r="L32" i="11"/>
  <c r="J20" i="10"/>
  <c r="J56" i="10"/>
  <c r="J45" i="10"/>
  <c r="J31" i="10"/>
  <c r="J14" i="10"/>
  <c r="L27" i="11"/>
  <c r="L18" i="11"/>
  <c r="J42" i="10"/>
  <c r="L20" i="11"/>
  <c r="L19" i="11"/>
  <c r="J9" i="10"/>
  <c r="J19" i="10"/>
  <c r="J8" i="10"/>
  <c r="J54" i="10"/>
  <c r="J44" i="10"/>
  <c r="J30" i="10"/>
  <c r="J13" i="10"/>
  <c r="L26" i="11"/>
  <c r="L15" i="11"/>
  <c r="J11" i="10"/>
  <c r="J10" i="10"/>
  <c r="J50" i="10"/>
  <c r="L12" i="11"/>
  <c r="J49" i="10"/>
  <c r="L9" i="11"/>
  <c r="J53" i="10"/>
  <c r="J43" i="10"/>
  <c r="J27" i="10"/>
  <c r="J12" i="10"/>
  <c r="L22" i="11"/>
  <c r="L14" i="11"/>
  <c r="J52" i="10"/>
  <c r="L33" i="11"/>
  <c r="J34" i="10"/>
  <c r="L11" i="11"/>
  <c r="J33" i="10"/>
  <c r="J51" i="10"/>
  <c r="Q12" i="11"/>
  <c r="H140" i="7"/>
  <c r="H142" i="7"/>
  <c r="H143" i="7" s="1"/>
  <c r="H144" i="7"/>
  <c r="L11" i="14"/>
  <c r="L12" i="13"/>
  <c r="L8" i="15"/>
  <c r="L8" i="14"/>
  <c r="L8" i="25"/>
  <c r="L11" i="15"/>
  <c r="L8" i="13"/>
  <c r="L8" i="24"/>
  <c r="L7" i="15"/>
  <c r="L7" i="24"/>
  <c r="L12" i="15"/>
  <c r="L14" i="15"/>
  <c r="L7" i="25"/>
  <c r="L7" i="14"/>
  <c r="L7" i="13"/>
  <c r="L14" i="14"/>
  <c r="L12" i="14"/>
  <c r="L15" i="13"/>
  <c r="L13" i="13"/>
  <c r="P15" i="13"/>
  <c r="C144" i="7" s="1"/>
  <c r="P7" i="13"/>
  <c r="C139" i="7" s="1"/>
  <c r="P13" i="13"/>
  <c r="C142" i="7" s="1"/>
  <c r="P8" i="13"/>
  <c r="P25" i="13" s="1"/>
  <c r="P12" i="13"/>
  <c r="P14" i="15"/>
  <c r="G144" i="7" s="1"/>
  <c r="P7" i="15"/>
  <c r="G139" i="7" s="1"/>
  <c r="P12" i="15"/>
  <c r="G142" i="7" s="1"/>
  <c r="P11" i="15"/>
  <c r="P8" i="15"/>
  <c r="P11" i="14"/>
  <c r="P7" i="24"/>
  <c r="D139" i="7" s="1"/>
  <c r="P14" i="14"/>
  <c r="F144" i="7" s="1"/>
  <c r="P8" i="14"/>
  <c r="P8" i="24"/>
  <c r="P20" i="24" s="1"/>
  <c r="P8" i="25"/>
  <c r="P19" i="25" s="1"/>
  <c r="P7" i="14"/>
  <c r="F139" i="7" s="1"/>
  <c r="P7" i="25"/>
  <c r="E139" i="7" s="1"/>
  <c r="P12" i="14"/>
  <c r="F142" i="7" s="1"/>
  <c r="N22" i="12"/>
  <c r="N64" i="12"/>
  <c r="N47" i="12"/>
  <c r="N67" i="12"/>
  <c r="N61" i="12"/>
  <c r="N60" i="12"/>
  <c r="N53" i="12"/>
  <c r="N66" i="12"/>
  <c r="N73" i="12"/>
  <c r="N59" i="12"/>
  <c r="N63" i="12"/>
  <c r="N72" i="12"/>
  <c r="N51" i="12"/>
  <c r="N36" i="12"/>
  <c r="N19" i="12"/>
  <c r="N10" i="12"/>
  <c r="N51" i="10"/>
  <c r="N37" i="10"/>
  <c r="N23" i="10"/>
  <c r="N11" i="10"/>
  <c r="N3" i="12"/>
  <c r="N19" i="10"/>
  <c r="N28" i="12"/>
  <c r="N14" i="12"/>
  <c r="N56" i="10"/>
  <c r="N32" i="10"/>
  <c r="N17" i="10"/>
  <c r="N7" i="10"/>
  <c r="N12" i="10"/>
  <c r="N50" i="12"/>
  <c r="N35" i="12"/>
  <c r="N18" i="12"/>
  <c r="N9" i="12"/>
  <c r="N50" i="10"/>
  <c r="N36" i="10"/>
  <c r="N21" i="10"/>
  <c r="N10" i="10"/>
  <c r="N15" i="12"/>
  <c r="N46" i="10"/>
  <c r="N8" i="10"/>
  <c r="N44" i="12"/>
  <c r="N45" i="10"/>
  <c r="N27" i="10"/>
  <c r="N48" i="12"/>
  <c r="N30" i="12"/>
  <c r="N16" i="12"/>
  <c r="N4" i="12"/>
  <c r="N49" i="10"/>
  <c r="N34" i="10"/>
  <c r="N20" i="10"/>
  <c r="N9" i="10"/>
  <c r="N45" i="12"/>
  <c r="N33" i="10"/>
  <c r="N43" i="12"/>
  <c r="N27" i="12"/>
  <c r="N13" i="12"/>
  <c r="N54" i="10"/>
  <c r="N44" i="10"/>
  <c r="N31" i="10"/>
  <c r="N14" i="10"/>
  <c r="N13" i="10"/>
  <c r="N21" i="12"/>
  <c r="N11" i="12"/>
  <c r="N42" i="10"/>
  <c r="N41" i="12"/>
  <c r="N26" i="12"/>
  <c r="N12" i="12"/>
  <c r="N53" i="10"/>
  <c r="N43" i="10"/>
  <c r="N30" i="10"/>
  <c r="N40" i="12"/>
  <c r="N52" i="10"/>
  <c r="Q36" i="11"/>
  <c r="Q19" i="11"/>
  <c r="Q37" i="11"/>
  <c r="Q18" i="11"/>
  <c r="Q15" i="11"/>
  <c r="Q27" i="11"/>
  <c r="Q26" i="11"/>
  <c r="Q11" i="11"/>
  <c r="Q9" i="11"/>
  <c r="Q33" i="11"/>
  <c r="Q14" i="11"/>
  <c r="Q20" i="11"/>
  <c r="Q32" i="11"/>
  <c r="Q13" i="11"/>
  <c r="Q22" i="11"/>
  <c r="Q8" i="11"/>
  <c r="N17" i="12"/>
  <c r="N65" i="12"/>
  <c r="N49" i="12"/>
  <c r="N46" i="12"/>
  <c r="N42" i="12"/>
  <c r="N20" i="12"/>
  <c r="J15" i="13"/>
  <c r="J7" i="14"/>
  <c r="J14" i="14"/>
  <c r="J13" i="13"/>
  <c r="J12" i="14"/>
  <c r="J12" i="13"/>
  <c r="J11" i="14"/>
  <c r="J8" i="13"/>
  <c r="J8" i="14"/>
  <c r="J7" i="13"/>
  <c r="J8" i="25"/>
  <c r="J19" i="25" s="1"/>
  <c r="J7" i="25"/>
  <c r="E27" i="6" s="1"/>
  <c r="M67" i="12"/>
  <c r="E67" i="12"/>
  <c r="D67" i="12"/>
  <c r="K67" i="12"/>
  <c r="C67" i="12"/>
  <c r="J67" i="12"/>
  <c r="I67" i="12"/>
  <c r="G67" i="12"/>
  <c r="F67" i="12"/>
  <c r="L67" i="12"/>
  <c r="H67" i="12"/>
  <c r="M64" i="12"/>
  <c r="M41" i="12"/>
  <c r="M40" i="12"/>
  <c r="M28" i="12"/>
  <c r="M47" i="12"/>
  <c r="M31" i="10"/>
  <c r="M36" i="10"/>
  <c r="M45" i="10"/>
  <c r="M8" i="10"/>
  <c r="H132" i="7"/>
  <c r="H130" i="7"/>
  <c r="H128" i="7"/>
  <c r="H127" i="7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61" i="12"/>
  <c r="M26" i="12"/>
  <c r="M11" i="12"/>
  <c r="M19" i="12"/>
  <c r="M50" i="10"/>
  <c r="M21" i="10"/>
  <c r="M10" i="10"/>
  <c r="O22" i="11"/>
  <c r="M30" i="12"/>
  <c r="O15" i="11"/>
  <c r="M43" i="10"/>
  <c r="O33" i="11"/>
  <c r="O42" i="11" s="1"/>
  <c r="M13" i="12"/>
  <c r="M34" i="12"/>
  <c r="M42" i="10"/>
  <c r="O32" i="11"/>
  <c r="M43" i="12"/>
  <c r="M65" i="12"/>
  <c r="M51" i="10"/>
  <c r="M60" i="12"/>
  <c r="M21" i="12"/>
  <c r="M10" i="12"/>
  <c r="M49" i="12"/>
  <c r="M17" i="12"/>
  <c r="M49" i="10"/>
  <c r="M34" i="10"/>
  <c r="M20" i="10"/>
  <c r="M9" i="10"/>
  <c r="O20" i="11"/>
  <c r="M15" i="12"/>
  <c r="M51" i="12"/>
  <c r="M53" i="10"/>
  <c r="M45" i="12"/>
  <c r="M27" i="10"/>
  <c r="O12" i="11"/>
  <c r="M27" i="12"/>
  <c r="M11" i="10"/>
  <c r="O26" i="11"/>
  <c r="M36" i="12"/>
  <c r="M18" i="12"/>
  <c r="M9" i="12"/>
  <c r="M46" i="10"/>
  <c r="M33" i="10"/>
  <c r="M19" i="10"/>
  <c r="O19" i="11"/>
  <c r="M53" i="12"/>
  <c r="M44" i="12"/>
  <c r="M44" i="10"/>
  <c r="M14" i="10"/>
  <c r="M13" i="10"/>
  <c r="O13" i="11"/>
  <c r="M52" i="10"/>
  <c r="M12" i="10"/>
  <c r="M63" i="12"/>
  <c r="M37" i="10"/>
  <c r="M73" i="12"/>
  <c r="M50" i="12"/>
  <c r="M35" i="12"/>
  <c r="M16" i="12"/>
  <c r="M4" i="12"/>
  <c r="M46" i="12"/>
  <c r="M56" i="10"/>
  <c r="M32" i="10"/>
  <c r="M17" i="10"/>
  <c r="M7" i="10"/>
  <c r="O18" i="11"/>
  <c r="M72" i="12"/>
  <c r="M3" i="12"/>
  <c r="M54" i="10"/>
  <c r="O36" i="11"/>
  <c r="M66" i="12"/>
  <c r="M14" i="12"/>
  <c r="M42" i="12"/>
  <c r="M30" i="10"/>
  <c r="M12" i="12"/>
  <c r="M20" i="12"/>
  <c r="M23" i="10"/>
  <c r="O14" i="11"/>
  <c r="O11" i="11"/>
  <c r="L28" i="12"/>
  <c r="O9" i="11"/>
  <c r="O8" i="11"/>
  <c r="E205" i="9" s="1"/>
  <c r="O37" i="11"/>
  <c r="L50" i="10"/>
  <c r="L26" i="12"/>
  <c r="L54" i="10"/>
  <c r="L17" i="10"/>
  <c r="L8" i="10"/>
  <c r="L7" i="10"/>
  <c r="H96" i="7"/>
  <c r="H70" i="7"/>
  <c r="I11" i="14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N7" i="25"/>
  <c r="I12" i="14"/>
  <c r="N8" i="24"/>
  <c r="N7" i="15"/>
  <c r="N8" i="15"/>
  <c r="N7" i="24"/>
  <c r="I12" i="13"/>
  <c r="I7" i="13"/>
  <c r="I13" i="13"/>
  <c r="I8" i="13"/>
  <c r="I15" i="13"/>
  <c r="N15" i="13"/>
  <c r="N12" i="13"/>
  <c r="N8" i="13"/>
  <c r="N7" i="13"/>
  <c r="N13" i="13"/>
  <c r="L73" i="12"/>
  <c r="L45" i="12"/>
  <c r="L34" i="12"/>
  <c r="L16" i="12"/>
  <c r="L4" i="12"/>
  <c r="L72" i="12"/>
  <c r="L44" i="12"/>
  <c r="L30" i="12"/>
  <c r="L15" i="12"/>
  <c r="L3" i="12"/>
  <c r="L66" i="12"/>
  <c r="L53" i="12"/>
  <c r="L43" i="12"/>
  <c r="L27" i="12"/>
  <c r="L14" i="12"/>
  <c r="L41" i="12"/>
  <c r="L12" i="12"/>
  <c r="L40" i="12"/>
  <c r="L11" i="12"/>
  <c r="L47" i="12"/>
  <c r="L10" i="12"/>
  <c r="L35" i="12"/>
  <c r="L65" i="12"/>
  <c r="L51" i="12"/>
  <c r="L42" i="12"/>
  <c r="L21" i="12"/>
  <c r="L13" i="12"/>
  <c r="L49" i="12"/>
  <c r="L19" i="12"/>
  <c r="L36" i="12"/>
  <c r="L17" i="12"/>
  <c r="L64" i="12"/>
  <c r="L50" i="12"/>
  <c r="L20" i="12"/>
  <c r="L63" i="12"/>
  <c r="L18" i="12"/>
  <c r="L46" i="12"/>
  <c r="L9" i="12"/>
  <c r="L45" i="10"/>
  <c r="L32" i="10"/>
  <c r="N19" i="11"/>
  <c r="N8" i="11"/>
  <c r="L31" i="10"/>
  <c r="N18" i="11"/>
  <c r="N15" i="11"/>
  <c r="L42" i="10"/>
  <c r="N33" i="11"/>
  <c r="N42" i="11" s="1"/>
  <c r="L37" i="10"/>
  <c r="L56" i="10"/>
  <c r="L44" i="10"/>
  <c r="L14" i="10"/>
  <c r="N37" i="11"/>
  <c r="L12" i="10"/>
  <c r="L9" i="10"/>
  <c r="N11" i="11"/>
  <c r="L19" i="10"/>
  <c r="L53" i="10"/>
  <c r="L43" i="10"/>
  <c r="L30" i="10"/>
  <c r="L13" i="10"/>
  <c r="N36" i="11"/>
  <c r="L27" i="10"/>
  <c r="L51" i="10"/>
  <c r="L23" i="10"/>
  <c r="L11" i="10"/>
  <c r="N13" i="11"/>
  <c r="L20" i="10"/>
  <c r="N9" i="11"/>
  <c r="L52" i="10"/>
  <c r="N14" i="11"/>
  <c r="N32" i="11"/>
  <c r="L49" i="10"/>
  <c r="N22" i="11"/>
  <c r="L36" i="10"/>
  <c r="L21" i="10"/>
  <c r="L10" i="10"/>
  <c r="N26" i="11"/>
  <c r="N12" i="11"/>
  <c r="L34" i="10"/>
  <c r="L46" i="10"/>
  <c r="L33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M12" i="14"/>
  <c r="M8" i="24"/>
  <c r="H60" i="7"/>
  <c r="M14" i="15"/>
  <c r="H8" i="14"/>
  <c r="M8" i="25"/>
  <c r="M11" i="15"/>
  <c r="H8" i="25"/>
  <c r="H19" i="25" s="1"/>
  <c r="M8" i="14"/>
  <c r="H58" i="7"/>
  <c r="M12" i="15"/>
  <c r="M14" i="14"/>
  <c r="M7" i="25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40" i="12"/>
  <c r="K30" i="12"/>
  <c r="K28" i="12"/>
  <c r="K15" i="12"/>
  <c r="M22" i="11"/>
  <c r="K19" i="10"/>
  <c r="K7" i="10"/>
  <c r="M15" i="11"/>
  <c r="C39" i="6"/>
  <c r="H108" i="7"/>
  <c r="C38" i="6"/>
  <c r="H104" i="7"/>
  <c r="H103" i="7"/>
  <c r="K64" i="12"/>
  <c r="K49" i="12"/>
  <c r="K29" i="12"/>
  <c r="K18" i="12"/>
  <c r="K3" i="12"/>
  <c r="M12" i="11"/>
  <c r="K52" i="10"/>
  <c r="K42" i="10"/>
  <c r="K21" i="10"/>
  <c r="K9" i="10"/>
  <c r="K9" i="12"/>
  <c r="K66" i="12"/>
  <c r="K43" i="10"/>
  <c r="K63" i="12"/>
  <c r="K48" i="12"/>
  <c r="K31" i="12"/>
  <c r="K16" i="12"/>
  <c r="M36" i="11"/>
  <c r="M13" i="11"/>
  <c r="K51" i="10"/>
  <c r="K37" i="10"/>
  <c r="K20" i="10"/>
  <c r="K8" i="10"/>
  <c r="K17" i="12"/>
  <c r="K34" i="10"/>
  <c r="K44" i="10"/>
  <c r="K27" i="10"/>
  <c r="K14" i="12"/>
  <c r="K42" i="12"/>
  <c r="K61" i="12"/>
  <c r="K47" i="12"/>
  <c r="K27" i="12"/>
  <c r="K13" i="12"/>
  <c r="M33" i="11"/>
  <c r="M11" i="11"/>
  <c r="K50" i="10"/>
  <c r="K33" i="10"/>
  <c r="K17" i="10"/>
  <c r="K19" i="12"/>
  <c r="K11" i="10"/>
  <c r="K4" i="12"/>
  <c r="K10" i="10"/>
  <c r="K60" i="12"/>
  <c r="K45" i="12"/>
  <c r="K26" i="12"/>
  <c r="K12" i="12"/>
  <c r="M32" i="11"/>
  <c r="M9" i="11"/>
  <c r="K49" i="10"/>
  <c r="K31" i="10"/>
  <c r="K14" i="10"/>
  <c r="K65" i="12"/>
  <c r="K36" i="12"/>
  <c r="M19" i="11"/>
  <c r="K50" i="12"/>
  <c r="K53" i="10"/>
  <c r="K59" i="12"/>
  <c r="K43" i="12"/>
  <c r="K21" i="12"/>
  <c r="K11" i="12"/>
  <c r="M26" i="11"/>
  <c r="M8" i="11"/>
  <c r="N205" i="9" s="1"/>
  <c r="K46" i="10"/>
  <c r="K32" i="10"/>
  <c r="K13" i="10"/>
  <c r="K54" i="12"/>
  <c r="K51" i="12"/>
  <c r="K54" i="10"/>
  <c r="K35" i="12"/>
  <c r="K23" i="10"/>
  <c r="K72" i="12"/>
  <c r="K53" i="12"/>
  <c r="K41" i="12"/>
  <c r="K20" i="12"/>
  <c r="K10" i="12"/>
  <c r="M20" i="11"/>
  <c r="K56" i="10"/>
  <c r="K45" i="10"/>
  <c r="K30" i="10"/>
  <c r="K12" i="10"/>
  <c r="K46" i="12"/>
  <c r="K73" i="12"/>
  <c r="K44" i="12"/>
  <c r="M18" i="11"/>
  <c r="M37" i="11"/>
  <c r="E11" i="14"/>
  <c r="I23" i="10"/>
  <c r="E12" i="15"/>
  <c r="E11" i="15"/>
  <c r="E14" i="15"/>
  <c r="E14" i="14"/>
  <c r="E12" i="14"/>
  <c r="F26" i="6"/>
  <c r="H47" i="7"/>
  <c r="F27" i="6"/>
  <c r="H91" i="7"/>
  <c r="H49" i="7"/>
  <c r="H92" i="7"/>
  <c r="H45" i="7"/>
  <c r="H44" i="7"/>
  <c r="F11" i="15"/>
  <c r="F8" i="15"/>
  <c r="J7" i="15"/>
  <c r="F12" i="15"/>
  <c r="F14" i="15"/>
  <c r="J11" i="15"/>
  <c r="F12" i="14"/>
  <c r="F8" i="25"/>
  <c r="F19" i="25" s="1"/>
  <c r="F7" i="25"/>
  <c r="F11" i="14"/>
  <c r="E8" i="25"/>
  <c r="E19" i="25" s="1"/>
  <c r="E7" i="25"/>
  <c r="C7" i="25"/>
  <c r="D8" i="25"/>
  <c r="D19" i="25" s="1"/>
  <c r="D7" i="25"/>
  <c r="C8" i="25"/>
  <c r="C19" i="25" s="1"/>
  <c r="F14" i="14"/>
  <c r="F13" i="13"/>
  <c r="J73" i="12"/>
  <c r="J46" i="12"/>
  <c r="J42" i="12"/>
  <c r="J27" i="12"/>
  <c r="J14" i="12"/>
  <c r="E13" i="13"/>
  <c r="I73" i="12"/>
  <c r="I64" i="12"/>
  <c r="I59" i="12"/>
  <c r="I50" i="12"/>
  <c r="I46" i="12"/>
  <c r="I42" i="12"/>
  <c r="I35" i="12"/>
  <c r="I27" i="12"/>
  <c r="I18" i="12"/>
  <c r="I14" i="12"/>
  <c r="I10" i="12"/>
  <c r="I26" i="12"/>
  <c r="I9" i="12"/>
  <c r="D7" i="24"/>
  <c r="J12" i="12"/>
  <c r="I60" i="12"/>
  <c r="I36" i="12"/>
  <c r="I15" i="12"/>
  <c r="F12" i="13"/>
  <c r="J54" i="12"/>
  <c r="J49" i="12"/>
  <c r="J26" i="12"/>
  <c r="J17" i="12"/>
  <c r="J13" i="12"/>
  <c r="E7" i="24"/>
  <c r="E12" i="13"/>
  <c r="I72" i="12"/>
  <c r="I63" i="12"/>
  <c r="I54" i="12"/>
  <c r="I49" i="12"/>
  <c r="I45" i="12"/>
  <c r="I41" i="12"/>
  <c r="I31" i="12"/>
  <c r="I17" i="12"/>
  <c r="I13" i="12"/>
  <c r="E8" i="24"/>
  <c r="F8" i="13"/>
  <c r="J66" i="12"/>
  <c r="J44" i="12"/>
  <c r="I51" i="12"/>
  <c r="I43" i="12"/>
  <c r="I19" i="12"/>
  <c r="I3" i="12"/>
  <c r="D8" i="24"/>
  <c r="C7" i="24"/>
  <c r="E8" i="13"/>
  <c r="I66" i="12"/>
  <c r="I61" i="12"/>
  <c r="I53" i="12"/>
  <c r="I48" i="12"/>
  <c r="I44" i="12"/>
  <c r="I40" i="12"/>
  <c r="I29" i="12"/>
  <c r="I20" i="12"/>
  <c r="I16" i="12"/>
  <c r="I12" i="12"/>
  <c r="I4" i="12"/>
  <c r="F8" i="24"/>
  <c r="C8" i="24"/>
  <c r="F15" i="13"/>
  <c r="F7" i="13"/>
  <c r="J65" i="12"/>
  <c r="J36" i="12"/>
  <c r="J15" i="12"/>
  <c r="J11" i="12"/>
  <c r="F7" i="24"/>
  <c r="E15" i="13"/>
  <c r="E7" i="13"/>
  <c r="I65" i="12"/>
  <c r="I47" i="12"/>
  <c r="I28" i="12"/>
  <c r="I11" i="12"/>
  <c r="I52" i="10"/>
  <c r="I46" i="10"/>
  <c r="I42" i="10"/>
  <c r="I10" i="10"/>
  <c r="I34" i="10"/>
  <c r="I30" i="10"/>
  <c r="I11" i="10"/>
  <c r="I53" i="10"/>
  <c r="I43" i="10"/>
  <c r="I27" i="10"/>
  <c r="I56" i="10"/>
  <c r="I51" i="10"/>
  <c r="I45" i="10"/>
  <c r="I37" i="10"/>
  <c r="I33" i="10"/>
  <c r="I14" i="10"/>
  <c r="I9" i="10"/>
  <c r="I32" i="10"/>
  <c r="I21" i="10"/>
  <c r="I13" i="10"/>
  <c r="I54" i="10"/>
  <c r="I50" i="10"/>
  <c r="I44" i="10"/>
  <c r="I31" i="10"/>
  <c r="I20" i="10"/>
  <c r="I12" i="10"/>
  <c r="I8" i="10"/>
  <c r="I19" i="10"/>
  <c r="I49" i="10"/>
  <c r="I17" i="10"/>
  <c r="I7" i="10"/>
  <c r="L37" i="11"/>
  <c r="J33" i="11"/>
  <c r="J15" i="11"/>
  <c r="J8" i="11"/>
  <c r="J18" i="11"/>
  <c r="L36" i="11"/>
  <c r="J32" i="11"/>
  <c r="J13" i="11"/>
  <c r="J22" i="11"/>
  <c r="J27" i="11"/>
  <c r="J12" i="11"/>
  <c r="J11" i="11"/>
  <c r="J26" i="11"/>
  <c r="L13" i="11"/>
  <c r="J20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31" i="10"/>
  <c r="H64" i="12"/>
  <c r="H59" i="12"/>
  <c r="H48" i="12"/>
  <c r="H41" i="12"/>
  <c r="H29" i="12"/>
  <c r="H19" i="12"/>
  <c r="H14" i="12"/>
  <c r="H10" i="12"/>
  <c r="G73" i="12"/>
  <c r="G61" i="12"/>
  <c r="G50" i="12"/>
  <c r="G43" i="12"/>
  <c r="G36" i="12"/>
  <c r="G19" i="12"/>
  <c r="G13" i="12"/>
  <c r="H21" i="10"/>
  <c r="G56" i="10"/>
  <c r="G50" i="10"/>
  <c r="G45" i="10"/>
  <c r="G37" i="10"/>
  <c r="G31" i="10"/>
  <c r="G21" i="10"/>
  <c r="G14" i="10"/>
  <c r="G10" i="10"/>
  <c r="I36" i="11"/>
  <c r="G49" i="10"/>
  <c r="G33" i="10"/>
  <c r="G12" i="10"/>
  <c r="H72" i="12"/>
  <c r="H43" i="12"/>
  <c r="H15" i="12"/>
  <c r="G35" i="12"/>
  <c r="G4" i="12"/>
  <c r="G42" i="10"/>
  <c r="G23" i="10"/>
  <c r="G11" i="10"/>
  <c r="F34" i="10"/>
  <c r="F30" i="10"/>
  <c r="H63" i="12"/>
  <c r="H53" i="12"/>
  <c r="H45" i="12"/>
  <c r="H40" i="12"/>
  <c r="H28" i="12"/>
  <c r="H18" i="12"/>
  <c r="H13" i="12"/>
  <c r="H9" i="12"/>
  <c r="G72" i="12"/>
  <c r="G60" i="12"/>
  <c r="G53" i="12"/>
  <c r="G41" i="12"/>
  <c r="G29" i="12"/>
  <c r="G16" i="12"/>
  <c r="G12" i="12"/>
  <c r="G10" i="12"/>
  <c r="G54" i="10"/>
  <c r="G51" i="10"/>
  <c r="G44" i="10"/>
  <c r="G34" i="10"/>
  <c r="G30" i="10"/>
  <c r="G20" i="10"/>
  <c r="G13" i="10"/>
  <c r="G9" i="10"/>
  <c r="G15" i="12"/>
  <c r="G53" i="10"/>
  <c r="G43" i="10"/>
  <c r="G19" i="10"/>
  <c r="G8" i="10"/>
  <c r="H60" i="12"/>
  <c r="H50" i="12"/>
  <c r="H26" i="12"/>
  <c r="H11" i="12"/>
  <c r="G63" i="12"/>
  <c r="G51" i="12"/>
  <c r="G26" i="12"/>
  <c r="G11" i="12"/>
  <c r="G52" i="10"/>
  <c r="G32" i="10"/>
  <c r="G17" i="10"/>
  <c r="G7" i="10"/>
  <c r="F33" i="10"/>
  <c r="H73" i="12"/>
  <c r="H61" i="12"/>
  <c r="H51" i="12"/>
  <c r="H44" i="12"/>
  <c r="H36" i="12"/>
  <c r="H27" i="12"/>
  <c r="H16" i="12"/>
  <c r="H12" i="12"/>
  <c r="H4" i="12"/>
  <c r="G64" i="12"/>
  <c r="G59" i="12"/>
  <c r="G45" i="12"/>
  <c r="G40" i="12"/>
  <c r="G28" i="12"/>
  <c r="G18" i="12"/>
  <c r="G9" i="12"/>
  <c r="G27" i="10"/>
  <c r="F32" i="10"/>
  <c r="H35" i="12"/>
  <c r="H3" i="12"/>
  <c r="G44" i="12"/>
  <c r="G14" i="12"/>
  <c r="G46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3" i="12"/>
  <c r="H66" i="12"/>
  <c r="E65" i="12"/>
  <c r="C64" i="12"/>
  <c r="E60" i="12"/>
  <c r="C59" i="12"/>
  <c r="E51" i="12"/>
  <c r="C50" i="12"/>
  <c r="G48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3" i="12"/>
  <c r="G66" i="12"/>
  <c r="D65" i="12"/>
  <c r="F61" i="12"/>
  <c r="D60" i="12"/>
  <c r="H54" i="12"/>
  <c r="F53" i="12"/>
  <c r="D51" i="12"/>
  <c r="H49" i="12"/>
  <c r="F48" i="12"/>
  <c r="D46" i="12"/>
  <c r="F43" i="12"/>
  <c r="D42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6" i="12"/>
  <c r="F66" i="12" s="1"/>
  <c r="C65" i="12"/>
  <c r="E61" i="12"/>
  <c r="C60" i="12"/>
  <c r="G54" i="12"/>
  <c r="E53" i="12"/>
  <c r="C51" i="12"/>
  <c r="G49" i="12"/>
  <c r="E48" i="12"/>
  <c r="C46" i="12"/>
  <c r="E43" i="12"/>
  <c r="C42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6" i="12"/>
  <c r="F63" i="12"/>
  <c r="D61" i="12"/>
  <c r="F54" i="12"/>
  <c r="D53" i="12"/>
  <c r="F49" i="12"/>
  <c r="D48" i="12"/>
  <c r="F44" i="12"/>
  <c r="D43" i="12"/>
  <c r="F40" i="12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72" i="12"/>
  <c r="C66" i="12"/>
  <c r="E63" i="12"/>
  <c r="C61" i="12"/>
  <c r="E54" i="12"/>
  <c r="C53" i="12"/>
  <c r="E49" i="12"/>
  <c r="C48" i="12"/>
  <c r="E44" i="12"/>
  <c r="C43" i="12"/>
  <c r="E40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5" i="12"/>
  <c r="C45" i="12"/>
  <c r="E42" i="12"/>
  <c r="E35" i="12"/>
  <c r="C31" i="12"/>
  <c r="E27" i="12"/>
  <c r="C26" i="12"/>
  <c r="E18" i="12"/>
  <c r="C17" i="12"/>
  <c r="E14" i="12"/>
  <c r="C13" i="12"/>
  <c r="E10" i="12"/>
  <c r="C9" i="12"/>
  <c r="G3" i="12"/>
  <c r="C56" i="10"/>
  <c r="E52" i="10"/>
  <c r="C51" i="10"/>
  <c r="E46" i="10"/>
  <c r="C45" i="10"/>
  <c r="E42" i="10"/>
  <c r="C37" i="10"/>
  <c r="E32" i="10"/>
  <c r="H30" i="10"/>
  <c r="F27" i="10"/>
  <c r="D21" i="10"/>
  <c r="H19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8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3" i="12"/>
  <c r="F64" i="12"/>
  <c r="F60" i="12"/>
  <c r="H46" i="12"/>
  <c r="D44" i="12"/>
  <c r="F41" i="12"/>
  <c r="F36" i="12"/>
  <c r="D35" i="12"/>
  <c r="F28" i="12"/>
  <c r="D27" i="12"/>
  <c r="H20" i="12"/>
  <c r="F19" i="12"/>
  <c r="D18" i="12"/>
  <c r="F15" i="12"/>
  <c r="D14" i="12"/>
  <c r="F11" i="12"/>
  <c r="D10" i="12"/>
  <c r="F3" i="12"/>
  <c r="F23" i="10"/>
  <c r="H54" i="10"/>
  <c r="F53" i="10"/>
  <c r="D52" i="10"/>
  <c r="H50" i="10"/>
  <c r="F49" i="10"/>
  <c r="D46" i="10"/>
  <c r="H44" i="10"/>
  <c r="F43" i="10"/>
  <c r="D42" i="10"/>
  <c r="H34" i="10"/>
  <c r="C32" i="10"/>
  <c r="E27" i="10"/>
  <c r="C21" i="10"/>
  <c r="E17" i="10"/>
  <c r="C14" i="10"/>
  <c r="E12" i="6"/>
  <c r="L25" i="7"/>
  <c r="C11" i="15"/>
  <c r="E73" i="12"/>
  <c r="E64" i="12"/>
  <c r="F59" i="12"/>
  <c r="F51" i="12"/>
  <c r="G46" i="12"/>
  <c r="C44" i="12"/>
  <c r="E41" i="12"/>
  <c r="E36" i="12"/>
  <c r="C35" i="12"/>
  <c r="E28" i="12"/>
  <c r="C27" i="12"/>
  <c r="G20" i="12"/>
  <c r="E19" i="12"/>
  <c r="C18" i="12"/>
  <c r="E15" i="12"/>
  <c r="C14" i="12"/>
  <c r="E11" i="12"/>
  <c r="C10" i="12"/>
  <c r="E3" i="12"/>
  <c r="E23" i="10"/>
  <c r="E53" i="10"/>
  <c r="C52" i="10"/>
  <c r="E49" i="10"/>
  <c r="C46" i="10"/>
  <c r="E43" i="10"/>
  <c r="C42" i="10"/>
  <c r="E33" i="10"/>
  <c r="H31" i="10"/>
  <c r="D27" i="10"/>
  <c r="H20" i="10"/>
  <c r="F19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5" i="10"/>
  <c r="D34" i="10"/>
  <c r="C19" i="10"/>
  <c r="E7" i="6"/>
  <c r="L21" i="7"/>
  <c r="C8" i="15"/>
  <c r="E72" i="12"/>
  <c r="D64" i="12"/>
  <c r="E59" i="12"/>
  <c r="F50" i="12"/>
  <c r="F46" i="12"/>
  <c r="D41" i="12"/>
  <c r="D36" i="12"/>
  <c r="H31" i="12"/>
  <c r="F29" i="12"/>
  <c r="D28" i="12"/>
  <c r="F20" i="12"/>
  <c r="D19" i="12"/>
  <c r="H17" i="12"/>
  <c r="F16" i="12"/>
  <c r="D15" i="12"/>
  <c r="F12" i="12"/>
  <c r="D11" i="12"/>
  <c r="F4" i="12"/>
  <c r="D3" i="12"/>
  <c r="D23" i="10"/>
  <c r="H56" i="10"/>
  <c r="F54" i="10"/>
  <c r="D53" i="10"/>
  <c r="H51" i="10"/>
  <c r="F50" i="10"/>
  <c r="D49" i="10"/>
  <c r="H45" i="10"/>
  <c r="F44" i="10"/>
  <c r="D43" i="10"/>
  <c r="H37" i="10"/>
  <c r="D33" i="10"/>
  <c r="E30" i="10"/>
  <c r="C27" i="10"/>
  <c r="E19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42" i="10"/>
  <c r="H32" i="10"/>
  <c r="C30" i="10"/>
  <c r="H20" i="7"/>
  <c r="I14" i="15"/>
  <c r="I7" i="15"/>
  <c r="D72" i="12"/>
  <c r="D63" i="12"/>
  <c r="D59" i="12"/>
  <c r="E50" i="12"/>
  <c r="E46" i="12"/>
  <c r="C41" i="12"/>
  <c r="C36" i="12"/>
  <c r="G31" i="12"/>
  <c r="E29" i="12"/>
  <c r="C28" i="12"/>
  <c r="E20" i="12"/>
  <c r="C19" i="12"/>
  <c r="G17" i="12"/>
  <c r="E16" i="12"/>
  <c r="C15" i="12"/>
  <c r="E12" i="12"/>
  <c r="C11" i="12"/>
  <c r="E4" i="12"/>
  <c r="C3" i="12"/>
  <c r="C23" i="10"/>
  <c r="E54" i="10"/>
  <c r="C53" i="10"/>
  <c r="E50" i="10"/>
  <c r="C49" i="10"/>
  <c r="E44" i="10"/>
  <c r="C43" i="10"/>
  <c r="E34" i="10"/>
  <c r="C33" i="10"/>
  <c r="D30" i="10"/>
  <c r="F20" i="10"/>
  <c r="D19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4" i="10"/>
  <c r="F37" i="10"/>
  <c r="E31" i="10"/>
  <c r="E20" i="10"/>
  <c r="O10" i="7"/>
  <c r="D11" i="14"/>
  <c r="C72" i="12"/>
  <c r="C63" i="12"/>
  <c r="D54" i="12"/>
  <c r="D50" i="12"/>
  <c r="F45" i="12"/>
  <c r="H42" i="12"/>
  <c r="D40" i="12"/>
  <c r="F31" i="12"/>
  <c r="D29" i="12"/>
  <c r="F26" i="12"/>
  <c r="D20" i="12"/>
  <c r="F17" i="12"/>
  <c r="D16" i="12"/>
  <c r="F13" i="12"/>
  <c r="D12" i="12"/>
  <c r="F9" i="12"/>
  <c r="D4" i="12"/>
  <c r="A1" i="12"/>
  <c r="F56" i="10"/>
  <c r="D54" i="10"/>
  <c r="H52" i="10"/>
  <c r="F51" i="10"/>
  <c r="D50" i="10"/>
  <c r="O45" i="7"/>
  <c r="A1" i="7"/>
  <c r="C8" i="14"/>
  <c r="C12" i="11"/>
  <c r="H12" i="11"/>
  <c r="H18" i="11"/>
  <c r="D22" i="11"/>
  <c r="G32" i="11"/>
  <c r="F14" i="10"/>
  <c r="H27" i="10"/>
  <c r="E37" i="10"/>
  <c r="H53" i="10"/>
  <c r="D13" i="12"/>
  <c r="F18" i="12"/>
  <c r="F42" i="12"/>
  <c r="C27" i="11"/>
  <c r="C31" i="10"/>
  <c r="C4" i="12"/>
  <c r="H8" i="11"/>
  <c r="D26" i="11"/>
  <c r="H17" i="10"/>
  <c r="H49" i="10"/>
  <c r="D9" i="12"/>
  <c r="F14" i="12"/>
  <c r="D31" i="12"/>
  <c r="G65" i="12"/>
  <c r="D14" i="11"/>
  <c r="E20" i="11"/>
  <c r="D27" i="11"/>
  <c r="D36" i="11"/>
  <c r="C9" i="10"/>
  <c r="C12" i="10"/>
  <c r="C20" i="10"/>
  <c r="H43" i="10"/>
  <c r="C50" i="10"/>
  <c r="E56" i="10"/>
  <c r="E9" i="12"/>
  <c r="C20" i="12"/>
  <c r="E31" i="12"/>
  <c r="E45" i="12"/>
  <c r="H65" i="12"/>
  <c r="O7" i="7"/>
  <c r="I13" i="11"/>
  <c r="C29" i="12"/>
  <c r="H11" i="10"/>
  <c r="G19" i="11"/>
  <c r="D9" i="10"/>
  <c r="D20" i="10"/>
  <c r="C44" i="10"/>
  <c r="F10" i="12"/>
  <c r="D26" i="12"/>
  <c r="F35" i="12"/>
  <c r="C49" i="12"/>
  <c r="O49" i="7"/>
  <c r="G33" i="11"/>
  <c r="F42" i="10"/>
  <c r="H14" i="11"/>
  <c r="C8" i="10"/>
  <c r="D56" i="10"/>
  <c r="D45" i="12"/>
  <c r="I8" i="11"/>
  <c r="I14" i="11"/>
  <c r="C9" i="11"/>
  <c r="E14" i="11"/>
  <c r="G15" i="11"/>
  <c r="H27" i="11"/>
  <c r="D37" i="11"/>
  <c r="C13" i="10"/>
  <c r="D51" i="10"/>
  <c r="H9" i="11"/>
  <c r="G11" i="11"/>
  <c r="C18" i="11"/>
  <c r="I20" i="11"/>
  <c r="I26" i="11"/>
  <c r="H37" i="11"/>
  <c r="E9" i="10"/>
  <c r="D13" i="10"/>
  <c r="E21" i="10"/>
  <c r="H33" i="10"/>
  <c r="D45" i="10"/>
  <c r="E51" i="10"/>
  <c r="C16" i="12"/>
  <c r="E26" i="12"/>
  <c r="D49" i="12"/>
  <c r="E8" i="11"/>
  <c r="D20" i="11"/>
  <c r="H46" i="10"/>
  <c r="E13" i="12"/>
  <c r="G42" i="12"/>
  <c r="E19" i="11"/>
  <c r="D31" i="10"/>
  <c r="C11" i="14"/>
  <c r="D11" i="11"/>
  <c r="I11" i="11"/>
  <c r="E18" i="11"/>
  <c r="I27" i="11"/>
  <c r="E10" i="10"/>
  <c r="E13" i="10"/>
  <c r="F21" i="10"/>
  <c r="C34" i="10"/>
  <c r="E45" i="10"/>
  <c r="F52" i="10"/>
  <c r="H23" i="10"/>
  <c r="D17" i="12"/>
  <c r="F27" i="12"/>
  <c r="H7" i="10"/>
  <c r="C54" i="10"/>
  <c r="C14" i="11"/>
  <c r="C37" i="11"/>
  <c r="E11" i="11"/>
  <c r="G12" i="11"/>
  <c r="G18" i="11"/>
  <c r="C22" i="11"/>
  <c r="E33" i="11"/>
  <c r="I37" i="11"/>
  <c r="F10" i="10"/>
  <c r="E14" i="10"/>
  <c r="D37" i="10"/>
  <c r="F46" i="10"/>
  <c r="D32" i="10"/>
  <c r="C12" i="12"/>
  <c r="E17" i="12"/>
  <c r="G27" i="12"/>
  <c r="C40" i="12"/>
  <c r="C54" i="12"/>
  <c r="Q23" i="12" l="1"/>
  <c r="Q33" i="12" s="1"/>
  <c r="Q37" i="12" s="1"/>
  <c r="W8" i="24"/>
  <c r="X8" i="24" s="1"/>
  <c r="W8" i="13"/>
  <c r="X8" i="13" s="1"/>
  <c r="W14" i="15"/>
  <c r="X14" i="15" s="1"/>
  <c r="U9" i="11"/>
  <c r="V9" i="11" s="1"/>
  <c r="U15" i="11"/>
  <c r="V15" i="11" s="1"/>
  <c r="U8" i="13"/>
  <c r="V8" i="13" s="1"/>
  <c r="T25" i="13"/>
  <c r="C177" i="7"/>
  <c r="U15" i="13"/>
  <c r="V15" i="13" s="1"/>
  <c r="T16" i="13"/>
  <c r="U12" i="15"/>
  <c r="V12" i="15" s="1"/>
  <c r="G175" i="7"/>
  <c r="T13" i="15"/>
  <c r="T41" i="11"/>
  <c r="T34" i="11"/>
  <c r="U32" i="11"/>
  <c r="V32" i="11" s="1"/>
  <c r="W19" i="11"/>
  <c r="X19" i="11" s="1"/>
  <c r="W7" i="15"/>
  <c r="X7" i="15" s="1"/>
  <c r="W7" i="14"/>
  <c r="X7" i="14" s="1"/>
  <c r="W13" i="13"/>
  <c r="X13" i="13" s="1"/>
  <c r="U19" i="11"/>
  <c r="V19" i="11" s="1"/>
  <c r="U20" i="11"/>
  <c r="V20" i="11" s="1"/>
  <c r="C205" i="9"/>
  <c r="T10" i="11"/>
  <c r="U8" i="11"/>
  <c r="V8" i="11" s="1"/>
  <c r="T9" i="25"/>
  <c r="E37" i="6"/>
  <c r="E172" i="7"/>
  <c r="U7" i="25"/>
  <c r="V7" i="25" s="1"/>
  <c r="T18" i="25"/>
  <c r="U8" i="14"/>
  <c r="V8" i="14" s="1"/>
  <c r="U18" i="11"/>
  <c r="V18" i="11" s="1"/>
  <c r="E197" i="9"/>
  <c r="W8" i="14"/>
  <c r="X8" i="14" s="1"/>
  <c r="T42" i="11"/>
  <c r="U42" i="11" s="1"/>
  <c r="V42" i="11" s="1"/>
  <c r="U33" i="11"/>
  <c r="V33" i="11" s="1"/>
  <c r="W33" i="11"/>
  <c r="X33" i="11" s="1"/>
  <c r="W7" i="25"/>
  <c r="X7" i="25" s="1"/>
  <c r="W12" i="15"/>
  <c r="X12" i="15" s="1"/>
  <c r="W12" i="14"/>
  <c r="X12" i="14" s="1"/>
  <c r="W11" i="14"/>
  <c r="X11" i="14" s="1"/>
  <c r="U37" i="11"/>
  <c r="Q22" i="10"/>
  <c r="C172" i="7"/>
  <c r="T10" i="13"/>
  <c r="T24" i="13"/>
  <c r="U7" i="13"/>
  <c r="V7" i="13" s="1"/>
  <c r="Q15" i="10"/>
  <c r="U11" i="15"/>
  <c r="V11" i="15" s="1"/>
  <c r="T38" i="11"/>
  <c r="U36" i="11"/>
  <c r="V36" i="11" s="1"/>
  <c r="W12" i="11"/>
  <c r="X12" i="11" s="1"/>
  <c r="W8" i="15"/>
  <c r="X8" i="15" s="1"/>
  <c r="U12" i="11"/>
  <c r="V12" i="11" s="1"/>
  <c r="U26" i="11"/>
  <c r="V26" i="11" s="1"/>
  <c r="U13" i="13"/>
  <c r="V13" i="13" s="1"/>
  <c r="T14" i="13"/>
  <c r="C175" i="7"/>
  <c r="Q55" i="10"/>
  <c r="Q57" i="10" s="1"/>
  <c r="Q58" i="10" s="1"/>
  <c r="U7" i="24"/>
  <c r="V7" i="24" s="1"/>
  <c r="T10" i="24"/>
  <c r="E36" i="6"/>
  <c r="E35" i="6" s="1"/>
  <c r="T19" i="24"/>
  <c r="D172" i="7"/>
  <c r="W26" i="11"/>
  <c r="X26" i="11" s="1"/>
  <c r="W15" i="13"/>
  <c r="X15" i="13" s="1"/>
  <c r="Q68" i="12"/>
  <c r="U12" i="13"/>
  <c r="V12" i="13" s="1"/>
  <c r="F172" i="7"/>
  <c r="U7" i="14"/>
  <c r="V7" i="14" s="1"/>
  <c r="T9" i="14"/>
  <c r="F175" i="7"/>
  <c r="U12" i="14"/>
  <c r="V12" i="14" s="1"/>
  <c r="T13" i="14"/>
  <c r="W8" i="25"/>
  <c r="X8" i="25" s="1"/>
  <c r="T20" i="24"/>
  <c r="U8" i="24"/>
  <c r="V8" i="24" s="1"/>
  <c r="U8" i="15"/>
  <c r="V8" i="15" s="1"/>
  <c r="U8" i="25"/>
  <c r="V8" i="25" s="1"/>
  <c r="T19" i="25"/>
  <c r="G177" i="7"/>
  <c r="T15" i="15"/>
  <c r="U14" i="15"/>
  <c r="V14" i="15" s="1"/>
  <c r="W7" i="13"/>
  <c r="X7" i="13" s="1"/>
  <c r="U14" i="14"/>
  <c r="V14" i="14" s="1"/>
  <c r="F177" i="7"/>
  <c r="F178" i="7" s="1"/>
  <c r="T15" i="14"/>
  <c r="W15" i="11"/>
  <c r="X15" i="11" s="1"/>
  <c r="W11" i="15"/>
  <c r="X11" i="15" s="1"/>
  <c r="W12" i="13"/>
  <c r="X12" i="13" s="1"/>
  <c r="U13" i="11"/>
  <c r="V13" i="11" s="1"/>
  <c r="G172" i="7"/>
  <c r="U7" i="15"/>
  <c r="V7" i="15" s="1"/>
  <c r="T9" i="15"/>
  <c r="U11" i="11"/>
  <c r="V11" i="11" s="1"/>
  <c r="U14" i="11"/>
  <c r="P22" i="10"/>
  <c r="W8" i="11"/>
  <c r="X8" i="11" s="1"/>
  <c r="L205" i="9"/>
  <c r="W7" i="24"/>
  <c r="X7" i="24" s="1"/>
  <c r="W14" i="14"/>
  <c r="X14" i="14" s="1"/>
  <c r="W11" i="11"/>
  <c r="X11" i="11" s="1"/>
  <c r="W32" i="11"/>
  <c r="X32" i="11" s="1"/>
  <c r="Q78" i="12"/>
  <c r="Q80" i="12" s="1"/>
  <c r="W18" i="11"/>
  <c r="X18" i="11" s="1"/>
  <c r="W36" i="11"/>
  <c r="X36" i="11" s="1"/>
  <c r="W22" i="11"/>
  <c r="X22" i="11" s="1"/>
  <c r="W20" i="11"/>
  <c r="X20" i="11" s="1"/>
  <c r="W9" i="11"/>
  <c r="X9" i="11" s="1"/>
  <c r="W13" i="11"/>
  <c r="X13" i="11" s="1"/>
  <c r="P78" i="12"/>
  <c r="L57" i="9"/>
  <c r="M57" i="9" s="1"/>
  <c r="H165" i="7"/>
  <c r="H167" i="7"/>
  <c r="N36" i="9"/>
  <c r="H96" i="9"/>
  <c r="P79" i="12"/>
  <c r="P55" i="12"/>
  <c r="S10" i="24"/>
  <c r="D161" i="7"/>
  <c r="S19" i="24"/>
  <c r="S15" i="14"/>
  <c r="F166" i="7"/>
  <c r="P68" i="12"/>
  <c r="L78" i="9"/>
  <c r="M78" i="9" s="1"/>
  <c r="L183" i="9"/>
  <c r="L186" i="9" s="1"/>
  <c r="N197" i="9"/>
  <c r="N141" i="9"/>
  <c r="H163" i="7"/>
  <c r="P5" i="12"/>
  <c r="P23" i="12" s="1"/>
  <c r="P33" i="12" s="1"/>
  <c r="P37" i="12" s="1"/>
  <c r="N199" i="9"/>
  <c r="N99" i="9"/>
  <c r="N162" i="9"/>
  <c r="L198" i="9"/>
  <c r="S9" i="25"/>
  <c r="S18" i="25"/>
  <c r="E161" i="7"/>
  <c r="N198" i="9"/>
  <c r="S42" i="11"/>
  <c r="S10" i="11"/>
  <c r="F164" i="7"/>
  <c r="S13" i="14"/>
  <c r="S15" i="15"/>
  <c r="G166" i="7"/>
  <c r="N183" i="9"/>
  <c r="N186" i="9" s="1"/>
  <c r="L120" i="9"/>
  <c r="M120" i="9" s="1"/>
  <c r="N57" i="9"/>
  <c r="S19" i="25"/>
  <c r="S24" i="13"/>
  <c r="C161" i="7"/>
  <c r="S10" i="13"/>
  <c r="S25" i="13"/>
  <c r="C164" i="7"/>
  <c r="S14" i="13"/>
  <c r="G161" i="7"/>
  <c r="S9" i="15"/>
  <c r="P55" i="10"/>
  <c r="P38" i="10"/>
  <c r="N196" i="9"/>
  <c r="L197" i="9"/>
  <c r="N78" i="9"/>
  <c r="S41" i="11"/>
  <c r="S34" i="11"/>
  <c r="P15" i="10"/>
  <c r="P24" i="10" s="1"/>
  <c r="C166" i="7"/>
  <c r="S16" i="13"/>
  <c r="S9" i="14"/>
  <c r="F161" i="7"/>
  <c r="L195" i="9"/>
  <c r="L14" i="9"/>
  <c r="L196" i="9"/>
  <c r="N203" i="9"/>
  <c r="L36" i="9"/>
  <c r="M36" i="9" s="1"/>
  <c r="L141" i="9"/>
  <c r="M141" i="9" s="1"/>
  <c r="S20" i="24"/>
  <c r="G164" i="7"/>
  <c r="S13" i="15"/>
  <c r="L203" i="9"/>
  <c r="L162" i="9"/>
  <c r="M162" i="9" s="1"/>
  <c r="N195" i="9"/>
  <c r="N14" i="9"/>
  <c r="L199" i="9"/>
  <c r="S38" i="11"/>
  <c r="P47" i="10"/>
  <c r="N120" i="9"/>
  <c r="L99" i="9"/>
  <c r="M99" i="9" s="1"/>
  <c r="O5" i="12"/>
  <c r="O23" i="12" s="1"/>
  <c r="O33" i="12" s="1"/>
  <c r="O37" i="12" s="1"/>
  <c r="H145" i="7"/>
  <c r="H154" i="7"/>
  <c r="H141" i="7"/>
  <c r="O22" i="10"/>
  <c r="O38" i="10"/>
  <c r="R42" i="11"/>
  <c r="C155" i="7"/>
  <c r="R16" i="13"/>
  <c r="R19" i="25"/>
  <c r="H156" i="7"/>
  <c r="G153" i="7"/>
  <c r="R13" i="15"/>
  <c r="G155" i="7"/>
  <c r="R15" i="15"/>
  <c r="C37" i="6"/>
  <c r="E150" i="7"/>
  <c r="R18" i="25"/>
  <c r="R9" i="25"/>
  <c r="O55" i="10"/>
  <c r="F153" i="7"/>
  <c r="R13" i="14"/>
  <c r="O78" i="12"/>
  <c r="R10" i="11"/>
  <c r="R16" i="11" s="1"/>
  <c r="H152" i="7"/>
  <c r="C36" i="6"/>
  <c r="D150" i="7"/>
  <c r="R10" i="24"/>
  <c r="R19" i="24"/>
  <c r="F155" i="7"/>
  <c r="R15" i="14"/>
  <c r="R20" i="24"/>
  <c r="O47" i="10"/>
  <c r="C153" i="7"/>
  <c r="R14" i="13"/>
  <c r="C150" i="7"/>
  <c r="R10" i="13"/>
  <c r="R24" i="13"/>
  <c r="R38" i="11"/>
  <c r="G150" i="7"/>
  <c r="R9" i="15"/>
  <c r="R25" i="13"/>
  <c r="O68" i="12"/>
  <c r="R41" i="11"/>
  <c r="R34" i="11"/>
  <c r="O15" i="10"/>
  <c r="F150" i="7"/>
  <c r="R9" i="14"/>
  <c r="Q8" i="25"/>
  <c r="Q12" i="14"/>
  <c r="P11" i="11"/>
  <c r="P15" i="11"/>
  <c r="P22" i="11"/>
  <c r="P13" i="11"/>
  <c r="P26" i="11"/>
  <c r="C183" i="9"/>
  <c r="Q7" i="14"/>
  <c r="P32" i="11"/>
  <c r="P27" i="11"/>
  <c r="P20" i="11"/>
  <c r="P12" i="11"/>
  <c r="P18" i="11"/>
  <c r="P14" i="11"/>
  <c r="P37" i="11"/>
  <c r="N38" i="10"/>
  <c r="P33" i="11"/>
  <c r="P42" i="11" s="1"/>
  <c r="P19" i="11"/>
  <c r="P8" i="11"/>
  <c r="P9" i="11"/>
  <c r="P36" i="11"/>
  <c r="Q8" i="24"/>
  <c r="C36" i="9"/>
  <c r="K8" i="13"/>
  <c r="K25" i="13" s="1"/>
  <c r="K14" i="14"/>
  <c r="L15" i="14"/>
  <c r="C196" i="9"/>
  <c r="K11" i="15"/>
  <c r="N15" i="10"/>
  <c r="P13" i="14"/>
  <c r="E199" i="9"/>
  <c r="E198" i="9"/>
  <c r="C162" i="9"/>
  <c r="E141" i="9"/>
  <c r="E57" i="9"/>
  <c r="P10" i="13"/>
  <c r="C140" i="7" s="1"/>
  <c r="P24" i="13"/>
  <c r="K7" i="25"/>
  <c r="E91" i="7" s="1"/>
  <c r="L9" i="25"/>
  <c r="L10" i="25" s="1"/>
  <c r="K8" i="25"/>
  <c r="K8" i="24"/>
  <c r="Q41" i="11"/>
  <c r="Q34" i="11"/>
  <c r="N68" i="12"/>
  <c r="N22" i="10"/>
  <c r="F32" i="6"/>
  <c r="P9" i="25"/>
  <c r="E140" i="7" s="1"/>
  <c r="P18" i="25"/>
  <c r="Q8" i="15"/>
  <c r="C203" i="9"/>
  <c r="C199" i="9"/>
  <c r="C78" i="9"/>
  <c r="E36" i="9"/>
  <c r="E78" i="9"/>
  <c r="P16" i="13"/>
  <c r="K14" i="15"/>
  <c r="L15" i="15"/>
  <c r="K8" i="14"/>
  <c r="E195" i="9"/>
  <c r="E14" i="9"/>
  <c r="P15" i="14"/>
  <c r="C197" i="9"/>
  <c r="K7" i="14"/>
  <c r="L9" i="14"/>
  <c r="L10" i="14" s="1"/>
  <c r="Q12" i="13"/>
  <c r="Q42" i="11"/>
  <c r="P9" i="14"/>
  <c r="F140" i="7" s="1"/>
  <c r="Q11" i="15"/>
  <c r="E196" i="9"/>
  <c r="C120" i="9"/>
  <c r="C57" i="9"/>
  <c r="E99" i="9"/>
  <c r="K13" i="13"/>
  <c r="L14" i="13"/>
  <c r="K12" i="15"/>
  <c r="L13" i="15"/>
  <c r="K8" i="15"/>
  <c r="N79" i="12"/>
  <c r="N55" i="12"/>
  <c r="Q14" i="15"/>
  <c r="P15" i="15"/>
  <c r="K7" i="13"/>
  <c r="C91" i="7" s="1"/>
  <c r="L10" i="13"/>
  <c r="P14" i="13"/>
  <c r="Q15" i="13"/>
  <c r="Q10" i="11"/>
  <c r="N78" i="12"/>
  <c r="Q38" i="11"/>
  <c r="Q12" i="15"/>
  <c r="P13" i="15"/>
  <c r="C198" i="9"/>
  <c r="C99" i="9"/>
  <c r="E183" i="9"/>
  <c r="K15" i="13"/>
  <c r="L16" i="13"/>
  <c r="K7" i="24"/>
  <c r="L10" i="24"/>
  <c r="L11" i="24" s="1"/>
  <c r="K12" i="13"/>
  <c r="C195" i="9"/>
  <c r="N5" i="12"/>
  <c r="N23" i="12" s="1"/>
  <c r="N33" i="12" s="1"/>
  <c r="N37" i="12" s="1"/>
  <c r="F31" i="6"/>
  <c r="P10" i="24"/>
  <c r="D140" i="7" s="1"/>
  <c r="P19" i="24"/>
  <c r="E162" i="9"/>
  <c r="Q11" i="14"/>
  <c r="N47" i="10"/>
  <c r="N55" i="10"/>
  <c r="Q7" i="15"/>
  <c r="P9" i="15"/>
  <c r="G140" i="7" s="1"/>
  <c r="E203" i="9"/>
  <c r="E204" i="9" s="1"/>
  <c r="C141" i="9"/>
  <c r="E120" i="9"/>
  <c r="K12" i="14"/>
  <c r="L13" i="14"/>
  <c r="K7" i="15"/>
  <c r="L9" i="15"/>
  <c r="L10" i="15" s="1"/>
  <c r="K11" i="14"/>
  <c r="Q8" i="14"/>
  <c r="Q14" i="14"/>
  <c r="C32" i="6"/>
  <c r="Q7" i="25"/>
  <c r="C31" i="6"/>
  <c r="Q7" i="24"/>
  <c r="Q7" i="13"/>
  <c r="Q8" i="13"/>
  <c r="Q13" i="13"/>
  <c r="J10" i="13"/>
  <c r="E68" i="12"/>
  <c r="F68" i="12"/>
  <c r="G68" i="12"/>
  <c r="J68" i="12"/>
  <c r="H68" i="12"/>
  <c r="I68" i="12"/>
  <c r="D68" i="12"/>
  <c r="C68" i="12"/>
  <c r="K68" i="12"/>
  <c r="L68" i="12"/>
  <c r="M68" i="12"/>
  <c r="E55" i="12"/>
  <c r="D55" i="12"/>
  <c r="G55" i="12"/>
  <c r="H55" i="12"/>
  <c r="I79" i="12"/>
  <c r="I55" i="12"/>
  <c r="K55" i="12"/>
  <c r="M55" i="12"/>
  <c r="C79" i="12"/>
  <c r="C55" i="12"/>
  <c r="L79" i="12"/>
  <c r="L55" i="12"/>
  <c r="F55" i="12"/>
  <c r="J79" i="12"/>
  <c r="J55" i="12"/>
  <c r="M78" i="12"/>
  <c r="O38" i="11"/>
  <c r="M5" i="12"/>
  <c r="M23" i="12" s="1"/>
  <c r="M33" i="12" s="1"/>
  <c r="M37" i="12" s="1"/>
  <c r="M38" i="10"/>
  <c r="H119" i="7"/>
  <c r="M47" i="10"/>
  <c r="C132" i="7"/>
  <c r="O16" i="13"/>
  <c r="M55" i="10"/>
  <c r="G132" i="7"/>
  <c r="O15" i="15"/>
  <c r="F127" i="7"/>
  <c r="O9" i="14"/>
  <c r="O19" i="25"/>
  <c r="O18" i="25"/>
  <c r="E32" i="6"/>
  <c r="E127" i="7"/>
  <c r="O9" i="25"/>
  <c r="O20" i="24"/>
  <c r="G130" i="7"/>
  <c r="O13" i="15"/>
  <c r="L78" i="12"/>
  <c r="O25" i="13"/>
  <c r="C127" i="7"/>
  <c r="O24" i="13"/>
  <c r="O10" i="13"/>
  <c r="H129" i="7"/>
  <c r="M22" i="10"/>
  <c r="M15" i="10"/>
  <c r="O9" i="15"/>
  <c r="G127" i="7"/>
  <c r="F130" i="7"/>
  <c r="O13" i="14"/>
  <c r="E31" i="6"/>
  <c r="D127" i="7"/>
  <c r="O10" i="24"/>
  <c r="U10" i="24" s="1"/>
  <c r="V10" i="24" s="1"/>
  <c r="O19" i="24"/>
  <c r="H131" i="7"/>
  <c r="M79" i="12"/>
  <c r="C130" i="7"/>
  <c r="O14" i="13"/>
  <c r="F132" i="7"/>
  <c r="O15" i="14"/>
  <c r="H133" i="7"/>
  <c r="C41" i="6"/>
  <c r="H117" i="7"/>
  <c r="N10" i="11"/>
  <c r="L3" i="22" s="1"/>
  <c r="H121" i="7"/>
  <c r="L55" i="10"/>
  <c r="N41" i="11"/>
  <c r="L7" i="22" s="1"/>
  <c r="N34" i="11"/>
  <c r="L6" i="22" s="1"/>
  <c r="L5" i="12"/>
  <c r="L23" i="12" s="1"/>
  <c r="L33" i="12" s="1"/>
  <c r="L37" i="12" s="1"/>
  <c r="N16" i="13"/>
  <c r="C120" i="7"/>
  <c r="G115" i="7"/>
  <c r="N9" i="15"/>
  <c r="N19" i="25"/>
  <c r="F120" i="7"/>
  <c r="N15" i="14"/>
  <c r="L22" i="10"/>
  <c r="D115" i="7"/>
  <c r="D31" i="6"/>
  <c r="N19" i="24"/>
  <c r="N10" i="24"/>
  <c r="L47" i="10"/>
  <c r="N20" i="24"/>
  <c r="D26" i="6"/>
  <c r="G120" i="7"/>
  <c r="N15" i="15"/>
  <c r="F115" i="7"/>
  <c r="N9" i="14"/>
  <c r="N38" i="11"/>
  <c r="N25" i="13"/>
  <c r="L15" i="10"/>
  <c r="E115" i="7"/>
  <c r="N18" i="25"/>
  <c r="D32" i="6"/>
  <c r="N9" i="25"/>
  <c r="G118" i="7"/>
  <c r="N13" i="15"/>
  <c r="J5" i="12"/>
  <c r="C118" i="7"/>
  <c r="N14" i="13"/>
  <c r="F118" i="7"/>
  <c r="N13" i="14"/>
  <c r="O10" i="11"/>
  <c r="L38" i="10"/>
  <c r="N10" i="13"/>
  <c r="C115" i="7"/>
  <c r="N24" i="13"/>
  <c r="O41" i="11"/>
  <c r="O34" i="11"/>
  <c r="C42" i="6"/>
  <c r="K55" i="10"/>
  <c r="J22" i="10"/>
  <c r="K5" i="12"/>
  <c r="K23" i="12" s="1"/>
  <c r="K33" i="12" s="1"/>
  <c r="K37" i="12" s="1"/>
  <c r="J47" i="10"/>
  <c r="H93" i="7"/>
  <c r="F9" i="25"/>
  <c r="F10" i="25" s="1"/>
  <c r="K78" i="12"/>
  <c r="M10" i="11"/>
  <c r="F108" i="7"/>
  <c r="M15" i="14"/>
  <c r="H109" i="7"/>
  <c r="K36" i="10"/>
  <c r="K38" i="10" s="1"/>
  <c r="C103" i="7"/>
  <c r="M24" i="13"/>
  <c r="M10" i="13"/>
  <c r="K15" i="10"/>
  <c r="G7" i="15"/>
  <c r="G106" i="7"/>
  <c r="M13" i="15"/>
  <c r="G103" i="7"/>
  <c r="M9" i="15"/>
  <c r="K47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8" i="25"/>
  <c r="M9" i="25"/>
  <c r="H107" i="7"/>
  <c r="M42" i="11"/>
  <c r="M38" i="11"/>
  <c r="K22" i="10"/>
  <c r="M20" i="24"/>
  <c r="K79" i="12"/>
  <c r="D103" i="7"/>
  <c r="M19" i="24"/>
  <c r="M10" i="24"/>
  <c r="F106" i="7"/>
  <c r="M13" i="14"/>
  <c r="M19" i="25"/>
  <c r="I9" i="25"/>
  <c r="G8" i="14"/>
  <c r="G14" i="15"/>
  <c r="G8" i="15"/>
  <c r="G7" i="14"/>
  <c r="H20" i="24"/>
  <c r="H97" i="7"/>
  <c r="D9" i="25"/>
  <c r="D20" i="25" s="1"/>
  <c r="G13" i="13"/>
  <c r="H95" i="7"/>
  <c r="G8" i="13"/>
  <c r="G25" i="13" s="1"/>
  <c r="G14" i="14"/>
  <c r="G7" i="13"/>
  <c r="G15" i="13"/>
  <c r="J9" i="25"/>
  <c r="J20" i="25" s="1"/>
  <c r="H9" i="25"/>
  <c r="C9" i="25"/>
  <c r="C20" i="25" s="1"/>
  <c r="G7" i="25"/>
  <c r="G12" i="13"/>
  <c r="G12" i="14"/>
  <c r="G12" i="15"/>
  <c r="G8" i="25"/>
  <c r="G19" i="25" s="1"/>
  <c r="E9" i="25"/>
  <c r="E20" i="25" s="1"/>
  <c r="G7" i="24"/>
  <c r="G8" i="24"/>
  <c r="G20" i="24" s="1"/>
  <c r="K27" i="11"/>
  <c r="K14" i="11"/>
  <c r="K19" i="11"/>
  <c r="L10" i="11"/>
  <c r="L16" i="11" s="1"/>
  <c r="L21" i="11" s="1"/>
  <c r="L23" i="11" s="1"/>
  <c r="L28" i="11" s="1"/>
  <c r="K8" i="11"/>
  <c r="J78" i="12"/>
  <c r="F16" i="13"/>
  <c r="J15" i="10"/>
  <c r="L34" i="11"/>
  <c r="K32" i="11"/>
  <c r="L41" i="11"/>
  <c r="K37" i="11"/>
  <c r="K36" i="11"/>
  <c r="L38" i="11"/>
  <c r="K26" i="11"/>
  <c r="J36" i="10"/>
  <c r="J38" i="10" s="1"/>
  <c r="J55" i="10"/>
  <c r="K12" i="11"/>
  <c r="K22" i="11"/>
  <c r="F14" i="13"/>
  <c r="K15" i="11"/>
  <c r="K9" i="11"/>
  <c r="F10" i="13"/>
  <c r="F11" i="13" s="1"/>
  <c r="K11" i="11"/>
  <c r="L42" i="11"/>
  <c r="K33" i="11"/>
  <c r="K20" i="11"/>
  <c r="K13" i="11"/>
  <c r="K18" i="11"/>
  <c r="I19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8" i="25"/>
  <c r="E18" i="25"/>
  <c r="C18" i="25"/>
  <c r="D18" i="25"/>
  <c r="F18" i="25"/>
  <c r="E44" i="7"/>
  <c r="J18" i="25"/>
  <c r="E55" i="7"/>
  <c r="H18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3" i="12" s="1"/>
  <c r="I33" i="12" s="1"/>
  <c r="I37" i="12" s="1"/>
  <c r="I47" i="10"/>
  <c r="I22" i="10"/>
  <c r="H78" i="12"/>
  <c r="I78" i="12"/>
  <c r="I55" i="10"/>
  <c r="I36" i="10"/>
  <c r="I38" i="10" s="1"/>
  <c r="I15" i="10"/>
  <c r="J41" i="11"/>
  <c r="I7" i="22" s="1"/>
  <c r="J34" i="11"/>
  <c r="J38" i="11"/>
  <c r="J42" i="11"/>
  <c r="J10" i="11"/>
  <c r="E78" i="12"/>
  <c r="D78" i="12"/>
  <c r="P44" i="7"/>
  <c r="G36" i="10"/>
  <c r="P45" i="7"/>
  <c r="P47" i="7"/>
  <c r="E36" i="10"/>
  <c r="H36" i="10"/>
  <c r="F18" i="11"/>
  <c r="F36" i="10"/>
  <c r="C36" i="10"/>
  <c r="D36" i="10"/>
  <c r="P49" i="7"/>
  <c r="G173" i="7" l="1"/>
  <c r="G174" i="7" s="1"/>
  <c r="T10" i="15"/>
  <c r="U9" i="15"/>
  <c r="V9" i="15" s="1"/>
  <c r="U34" i="11"/>
  <c r="V34" i="11" s="1"/>
  <c r="Q6" i="22"/>
  <c r="D173" i="7"/>
  <c r="D174" i="7" s="1"/>
  <c r="T21" i="24"/>
  <c r="T11" i="24"/>
  <c r="Q7" i="22"/>
  <c r="U41" i="11"/>
  <c r="V41" i="11" s="1"/>
  <c r="Q3" i="22"/>
  <c r="U10" i="11"/>
  <c r="V10" i="11" s="1"/>
  <c r="T16" i="11"/>
  <c r="W9" i="15"/>
  <c r="X9" i="15" s="1"/>
  <c r="C173" i="7"/>
  <c r="T11" i="13"/>
  <c r="U10" i="13"/>
  <c r="V10" i="13" s="1"/>
  <c r="W9" i="25"/>
  <c r="X9" i="25" s="1"/>
  <c r="I172" i="7"/>
  <c r="K172" i="7" s="1"/>
  <c r="J172" i="7"/>
  <c r="G176" i="7"/>
  <c r="C178" i="7"/>
  <c r="I177" i="7"/>
  <c r="I178" i="7" s="1"/>
  <c r="I175" i="7"/>
  <c r="C176" i="7"/>
  <c r="Q24" i="10"/>
  <c r="Q59" i="10" s="1"/>
  <c r="N204" i="9"/>
  <c r="G178" i="7"/>
  <c r="U38" i="11"/>
  <c r="V38" i="11" s="1"/>
  <c r="E173" i="7"/>
  <c r="E174" i="7" s="1"/>
  <c r="T20" i="25"/>
  <c r="U9" i="25"/>
  <c r="V9" i="25" s="1"/>
  <c r="T10" i="25"/>
  <c r="F173" i="7"/>
  <c r="F174" i="7" s="1"/>
  <c r="U9" i="14"/>
  <c r="V9" i="14" s="1"/>
  <c r="T10" i="14"/>
  <c r="C204" i="9"/>
  <c r="F176" i="7"/>
  <c r="W41" i="11"/>
  <c r="X41" i="11" s="1"/>
  <c r="L204" i="9"/>
  <c r="W10" i="24"/>
  <c r="X10" i="24" s="1"/>
  <c r="W9" i="14"/>
  <c r="X9" i="14" s="1"/>
  <c r="W10" i="13"/>
  <c r="X10" i="13" s="1"/>
  <c r="W10" i="11"/>
  <c r="X10" i="11" s="1"/>
  <c r="W38" i="11"/>
  <c r="X38" i="11" s="1"/>
  <c r="W42" i="11"/>
  <c r="X42" i="11" s="1"/>
  <c r="W34" i="11"/>
  <c r="X34" i="11" s="1"/>
  <c r="O7" i="22"/>
  <c r="G165" i="7"/>
  <c r="M183" i="9"/>
  <c r="P70" i="12"/>
  <c r="P74" i="12" s="1"/>
  <c r="I166" i="7"/>
  <c r="S16" i="11"/>
  <c r="P3" i="22"/>
  <c r="L201" i="9"/>
  <c r="L206" i="9" s="1"/>
  <c r="F165" i="7"/>
  <c r="C165" i="7"/>
  <c r="I164" i="7"/>
  <c r="S11" i="13"/>
  <c r="C162" i="7"/>
  <c r="S10" i="25"/>
  <c r="E162" i="7"/>
  <c r="E163" i="7" s="1"/>
  <c r="S20" i="25"/>
  <c r="F162" i="7"/>
  <c r="F163" i="7" s="1"/>
  <c r="S10" i="14"/>
  <c r="P57" i="10"/>
  <c r="P58" i="10" s="1"/>
  <c r="P59" i="10" s="1"/>
  <c r="P80" i="12"/>
  <c r="P6" i="22"/>
  <c r="G162" i="7"/>
  <c r="G163" i="7" s="1"/>
  <c r="S10" i="15"/>
  <c r="C167" i="7"/>
  <c r="J161" i="7"/>
  <c r="I161" i="7"/>
  <c r="K161" i="7" s="1"/>
  <c r="D35" i="6"/>
  <c r="G37" i="6"/>
  <c r="G167" i="7"/>
  <c r="F167" i="7"/>
  <c r="S21" i="24"/>
  <c r="S11" i="24"/>
  <c r="D162" i="7"/>
  <c r="D163" i="7" s="1"/>
  <c r="N201" i="9"/>
  <c r="O203" i="9" s="1"/>
  <c r="P7" i="22"/>
  <c r="D120" i="9"/>
  <c r="D78" i="9"/>
  <c r="D162" i="9"/>
  <c r="D141" i="9"/>
  <c r="D99" i="9"/>
  <c r="D36" i="9"/>
  <c r="D183" i="9"/>
  <c r="D57" i="9"/>
  <c r="O24" i="10"/>
  <c r="F156" i="7"/>
  <c r="E141" i="7"/>
  <c r="R20" i="25"/>
  <c r="E151" i="7"/>
  <c r="E152" i="7" s="1"/>
  <c r="R10" i="25"/>
  <c r="D141" i="7"/>
  <c r="R11" i="24"/>
  <c r="D151" i="7"/>
  <c r="D152" i="7" s="1"/>
  <c r="R21" i="24"/>
  <c r="G154" i="7"/>
  <c r="O80" i="12"/>
  <c r="C154" i="7"/>
  <c r="I153" i="7"/>
  <c r="F141" i="7"/>
  <c r="R10" i="14"/>
  <c r="F151" i="7"/>
  <c r="F152" i="7" s="1"/>
  <c r="I150" i="7"/>
  <c r="K150" i="7" s="1"/>
  <c r="J150" i="7"/>
  <c r="O6" i="22"/>
  <c r="G141" i="7"/>
  <c r="G151" i="7"/>
  <c r="G152" i="7" s="1"/>
  <c r="R10" i="15"/>
  <c r="R11" i="13"/>
  <c r="C151" i="7"/>
  <c r="F154" i="7"/>
  <c r="C156" i="7"/>
  <c r="I155" i="7"/>
  <c r="C35" i="6"/>
  <c r="G36" i="6"/>
  <c r="O3" i="22"/>
  <c r="O57" i="10"/>
  <c r="O58" i="10" s="1"/>
  <c r="G156" i="7"/>
  <c r="M115" i="9"/>
  <c r="D38" i="9"/>
  <c r="D122" i="9"/>
  <c r="D97" i="9"/>
  <c r="M94" i="9"/>
  <c r="M156" i="9"/>
  <c r="D138" i="9"/>
  <c r="D73" i="9"/>
  <c r="D30" i="9"/>
  <c r="M52" i="9"/>
  <c r="D80" i="9"/>
  <c r="M160" i="9"/>
  <c r="M95" i="9"/>
  <c r="M122" i="9"/>
  <c r="M101" i="9"/>
  <c r="M51" i="9"/>
  <c r="M164" i="9"/>
  <c r="D158" i="9"/>
  <c r="D135" i="9"/>
  <c r="M177" i="9"/>
  <c r="M178" i="9"/>
  <c r="M143" i="9"/>
  <c r="D114" i="9"/>
  <c r="D118" i="9"/>
  <c r="D115" i="9"/>
  <c r="D76" i="9"/>
  <c r="D156" i="9"/>
  <c r="D179" i="9"/>
  <c r="M53" i="9"/>
  <c r="D74" i="9"/>
  <c r="D137" i="9"/>
  <c r="D139" i="9"/>
  <c r="M158" i="9"/>
  <c r="M179" i="9"/>
  <c r="M76" i="9"/>
  <c r="D72" i="9"/>
  <c r="M38" i="9"/>
  <c r="M181" i="9"/>
  <c r="D33" i="9"/>
  <c r="M55" i="9"/>
  <c r="D54" i="9"/>
  <c r="D136" i="9"/>
  <c r="M73" i="9"/>
  <c r="M118" i="9"/>
  <c r="D55" i="9"/>
  <c r="D181" i="9"/>
  <c r="M116" i="9"/>
  <c r="D95" i="9"/>
  <c r="D32" i="9"/>
  <c r="M72" i="9"/>
  <c r="M96" i="9"/>
  <c r="M80" i="9"/>
  <c r="D93" i="9"/>
  <c r="M137" i="9"/>
  <c r="D75" i="9"/>
  <c r="M159" i="9"/>
  <c r="D116" i="9"/>
  <c r="D53" i="9"/>
  <c r="Q19" i="25"/>
  <c r="M97" i="9"/>
  <c r="M34" i="9"/>
  <c r="D159" i="9"/>
  <c r="M31" i="9"/>
  <c r="D117" i="9"/>
  <c r="M114" i="9"/>
  <c r="M138" i="9"/>
  <c r="M93" i="9"/>
  <c r="D59" i="9"/>
  <c r="M139" i="9"/>
  <c r="M30" i="9"/>
  <c r="D157" i="9"/>
  <c r="D51" i="9"/>
  <c r="D31" i="9"/>
  <c r="D178" i="9"/>
  <c r="M157" i="9"/>
  <c r="D164" i="9"/>
  <c r="D94" i="9"/>
  <c r="D160" i="9"/>
  <c r="D96" i="9"/>
  <c r="M135" i="9"/>
  <c r="D177" i="9"/>
  <c r="D180" i="9"/>
  <c r="D34" i="9"/>
  <c r="M180" i="9"/>
  <c r="M75" i="9"/>
  <c r="M54" i="9"/>
  <c r="M74" i="9"/>
  <c r="D52" i="9"/>
  <c r="M33" i="9"/>
  <c r="D143" i="9"/>
  <c r="M136" i="9"/>
  <c r="M32" i="9"/>
  <c r="D101" i="9"/>
  <c r="M59" i="9"/>
  <c r="M117" i="9"/>
  <c r="J23" i="12"/>
  <c r="J33" i="12" s="1"/>
  <c r="J37" i="12" s="1"/>
  <c r="J70" i="12" s="1"/>
  <c r="J74" i="12" s="1"/>
  <c r="C94" i="7"/>
  <c r="C95" i="7" s="1"/>
  <c r="J80" i="12"/>
  <c r="C30" i="6"/>
  <c r="G96" i="7"/>
  <c r="K9" i="14"/>
  <c r="K10" i="14" s="1"/>
  <c r="K15" i="14"/>
  <c r="Q20" i="24"/>
  <c r="K20" i="24"/>
  <c r="K15" i="15"/>
  <c r="F91" i="7"/>
  <c r="Q13" i="14"/>
  <c r="K19" i="25"/>
  <c r="N80" i="12"/>
  <c r="N70" i="12"/>
  <c r="N74" i="12" s="1"/>
  <c r="K14" i="13"/>
  <c r="C96" i="7"/>
  <c r="C97" i="7" s="1"/>
  <c r="K16" i="13"/>
  <c r="P38" i="11"/>
  <c r="K9" i="15"/>
  <c r="C201" i="9"/>
  <c r="K10" i="24"/>
  <c r="F30" i="6"/>
  <c r="K9" i="25"/>
  <c r="K18" i="25"/>
  <c r="G94" i="7"/>
  <c r="D91" i="7"/>
  <c r="J91" i="7" s="1"/>
  <c r="F94" i="7"/>
  <c r="K24" i="13"/>
  <c r="Q13" i="15"/>
  <c r="K13" i="14"/>
  <c r="K13" i="15"/>
  <c r="K19" i="24"/>
  <c r="Q16" i="11"/>
  <c r="F143" i="7"/>
  <c r="P21" i="24"/>
  <c r="P11" i="24"/>
  <c r="N24" i="10"/>
  <c r="Q9" i="15"/>
  <c r="C143" i="7"/>
  <c r="I142" i="7"/>
  <c r="I144" i="7"/>
  <c r="C145" i="7"/>
  <c r="P20" i="25"/>
  <c r="P10" i="25"/>
  <c r="P11" i="13"/>
  <c r="F96" i="7"/>
  <c r="P10" i="15"/>
  <c r="G145" i="7"/>
  <c r="P10" i="14"/>
  <c r="E201" i="9"/>
  <c r="J139" i="7"/>
  <c r="I139" i="7"/>
  <c r="K139" i="7" s="1"/>
  <c r="G91" i="7"/>
  <c r="N57" i="10"/>
  <c r="N58" i="10" s="1"/>
  <c r="Q15" i="15"/>
  <c r="P41" i="11"/>
  <c r="N7" i="22" s="1"/>
  <c r="P34" i="11"/>
  <c r="N6" i="22" s="1"/>
  <c r="G143" i="7"/>
  <c r="P10" i="11"/>
  <c r="N3" i="22" s="1"/>
  <c r="L11" i="13"/>
  <c r="F145" i="7"/>
  <c r="Q15" i="14"/>
  <c r="Q9" i="14"/>
  <c r="Q25" i="13"/>
  <c r="Q16" i="13"/>
  <c r="Q24" i="13"/>
  <c r="Q14" i="13"/>
  <c r="K42" i="11"/>
  <c r="Q9" i="25"/>
  <c r="Q18" i="25"/>
  <c r="Q10" i="24"/>
  <c r="Q19" i="24"/>
  <c r="Q10" i="13"/>
  <c r="L80" i="12"/>
  <c r="G32" i="6"/>
  <c r="E30" i="6"/>
  <c r="F133" i="7"/>
  <c r="M57" i="10"/>
  <c r="M58" i="10" s="1"/>
  <c r="F131" i="7"/>
  <c r="G133" i="7"/>
  <c r="M80" i="12"/>
  <c r="G131" i="7"/>
  <c r="O10" i="14"/>
  <c r="F128" i="7"/>
  <c r="F129" i="7" s="1"/>
  <c r="M6" i="22"/>
  <c r="O16" i="11"/>
  <c r="M3" i="22"/>
  <c r="M7" i="22"/>
  <c r="J127" i="7"/>
  <c r="I127" i="7"/>
  <c r="K127" i="7" s="1"/>
  <c r="O10" i="15"/>
  <c r="G128" i="7"/>
  <c r="G129" i="7" s="1"/>
  <c r="M24" i="10"/>
  <c r="M70" i="12"/>
  <c r="M74" i="12" s="1"/>
  <c r="I130" i="7"/>
  <c r="C131" i="7"/>
  <c r="E128" i="7"/>
  <c r="E129" i="7" s="1"/>
  <c r="O20" i="25"/>
  <c r="O10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70" i="12"/>
  <c r="L74" i="12" s="1"/>
  <c r="G31" i="6"/>
  <c r="L24" i="10"/>
  <c r="N10" i="14"/>
  <c r="F116" i="7"/>
  <c r="F117" i="7" s="1"/>
  <c r="D116" i="7"/>
  <c r="D117" i="7" s="1"/>
  <c r="N11" i="24"/>
  <c r="N21" i="24"/>
  <c r="J115" i="7"/>
  <c r="I115" i="7"/>
  <c r="K115" i="7" s="1"/>
  <c r="L57" i="10"/>
  <c r="L58" i="10" s="1"/>
  <c r="E116" i="7"/>
  <c r="E117" i="7" s="1"/>
  <c r="N20" i="25"/>
  <c r="N10" i="25"/>
  <c r="F121" i="7"/>
  <c r="I120" i="7"/>
  <c r="C121" i="7"/>
  <c r="I21" i="24"/>
  <c r="K57" i="10"/>
  <c r="K58" i="10" s="1"/>
  <c r="J24" i="10"/>
  <c r="J57" i="10"/>
  <c r="J58" i="10" s="1"/>
  <c r="F107" i="7"/>
  <c r="G9" i="14"/>
  <c r="G10" i="14" s="1"/>
  <c r="F109" i="7"/>
  <c r="K80" i="12"/>
  <c r="F104" i="7"/>
  <c r="F105" i="7" s="1"/>
  <c r="M10" i="14"/>
  <c r="C104" i="7"/>
  <c r="M11" i="13"/>
  <c r="C107" i="7"/>
  <c r="I106" i="7"/>
  <c r="G107" i="7"/>
  <c r="K6" i="22"/>
  <c r="K70" i="12"/>
  <c r="K74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J103" i="7"/>
  <c r="I103" i="7"/>
  <c r="K103" i="7" s="1"/>
  <c r="K7" i="22"/>
  <c r="E104" i="7"/>
  <c r="E105" i="7" s="1"/>
  <c r="M10" i="25"/>
  <c r="M20" i="25"/>
  <c r="G109" i="7"/>
  <c r="K24" i="10"/>
  <c r="H21" i="24"/>
  <c r="G9" i="15"/>
  <c r="G10" i="15" s="1"/>
  <c r="G15" i="15"/>
  <c r="G13" i="15"/>
  <c r="G15" i="14"/>
  <c r="L19" i="24"/>
  <c r="G24" i="13"/>
  <c r="G10" i="13"/>
  <c r="G11" i="13" s="1"/>
  <c r="G16" i="13"/>
  <c r="L18" i="25"/>
  <c r="L19" i="25"/>
  <c r="G14" i="13"/>
  <c r="G18" i="25"/>
  <c r="G9" i="25"/>
  <c r="L20" i="24"/>
  <c r="G10" i="24"/>
  <c r="G19" i="24"/>
  <c r="K38" i="11"/>
  <c r="K10" i="11"/>
  <c r="K34" i="11"/>
  <c r="K41" i="11"/>
  <c r="I20" i="25"/>
  <c r="I3" i="22"/>
  <c r="I6" i="22"/>
  <c r="H10" i="25"/>
  <c r="H20" i="25"/>
  <c r="F20" i="25"/>
  <c r="E45" i="7"/>
  <c r="E46" i="7" s="1"/>
  <c r="F11" i="24"/>
  <c r="F21" i="24"/>
  <c r="D45" i="7"/>
  <c r="D46" i="7" s="1"/>
  <c r="E56" i="7"/>
  <c r="E57" i="7" s="1"/>
  <c r="I70" i="12"/>
  <c r="I74" i="12" s="1"/>
  <c r="D10" i="25"/>
  <c r="E21" i="7"/>
  <c r="E22" i="7" s="1"/>
  <c r="D11" i="24"/>
  <c r="D21" i="7"/>
  <c r="E11" i="24"/>
  <c r="D34" i="7"/>
  <c r="D68" i="7"/>
  <c r="I11" i="24"/>
  <c r="C10" i="25"/>
  <c r="E8" i="7"/>
  <c r="E9" i="7" s="1"/>
  <c r="C11" i="24"/>
  <c r="D8" i="7"/>
  <c r="E80" i="7"/>
  <c r="E81" i="7" s="1"/>
  <c r="J10" i="25"/>
  <c r="I10" i="25"/>
  <c r="E68" i="7"/>
  <c r="E69" i="7" s="1"/>
  <c r="E10" i="25"/>
  <c r="E34" i="7"/>
  <c r="E35" i="7" s="1"/>
  <c r="H11" i="24"/>
  <c r="D56" i="7"/>
  <c r="I80" i="12"/>
  <c r="I57" i="10"/>
  <c r="I58" i="10" s="1"/>
  <c r="I24" i="10"/>
  <c r="J16" i="11"/>
  <c r="I4" i="22" s="1"/>
  <c r="P36" i="7"/>
  <c r="P34" i="7"/>
  <c r="P33" i="7"/>
  <c r="Q4" i="22" l="1"/>
  <c r="U16" i="11"/>
  <c r="V16" i="11" s="1"/>
  <c r="T21" i="11"/>
  <c r="C174" i="7"/>
  <c r="J174" i="7" s="1"/>
  <c r="J173" i="7"/>
  <c r="I173" i="7"/>
  <c r="K175" i="7"/>
  <c r="I176" i="7"/>
  <c r="O59" i="10"/>
  <c r="W16" i="11"/>
  <c r="X16" i="11" s="1"/>
  <c r="G35" i="6"/>
  <c r="M201" i="9"/>
  <c r="L255" i="9"/>
  <c r="N206" i="9"/>
  <c r="C163" i="7"/>
  <c r="J163" i="7" s="1"/>
  <c r="J162" i="7"/>
  <c r="I162" i="7"/>
  <c r="P4" i="22"/>
  <c r="S21" i="11"/>
  <c r="K164" i="7"/>
  <c r="I165" i="7"/>
  <c r="I167" i="7"/>
  <c r="E206" i="9"/>
  <c r="I156" i="7"/>
  <c r="J151" i="7"/>
  <c r="I151" i="7"/>
  <c r="C152" i="7"/>
  <c r="J152" i="7" s="1"/>
  <c r="O4" i="22"/>
  <c r="R21" i="11"/>
  <c r="I154" i="7"/>
  <c r="K153" i="7"/>
  <c r="M198" i="9"/>
  <c r="I163" i="9"/>
  <c r="I15" i="9"/>
  <c r="D198" i="9"/>
  <c r="I91" i="7"/>
  <c r="K91" i="7" s="1"/>
  <c r="M203" i="9"/>
  <c r="D199" i="9"/>
  <c r="M199" i="9"/>
  <c r="D195" i="9"/>
  <c r="K11" i="24"/>
  <c r="I162" i="9"/>
  <c r="D201" i="9"/>
  <c r="K21" i="24"/>
  <c r="D203" i="9"/>
  <c r="F203" i="9"/>
  <c r="D197" i="9"/>
  <c r="M197" i="9"/>
  <c r="M196" i="9"/>
  <c r="D196" i="9"/>
  <c r="M195" i="9"/>
  <c r="D92" i="7"/>
  <c r="D93" i="7" s="1"/>
  <c r="K10" i="25"/>
  <c r="F95" i="7"/>
  <c r="F97" i="7"/>
  <c r="F92" i="7"/>
  <c r="F93" i="7" s="1"/>
  <c r="G95" i="7"/>
  <c r="G97" i="7"/>
  <c r="I96" i="7"/>
  <c r="G92" i="7"/>
  <c r="G93" i="7" s="1"/>
  <c r="K10" i="15"/>
  <c r="E92" i="7"/>
  <c r="E93" i="7" s="1"/>
  <c r="K20" i="25"/>
  <c r="I94" i="7"/>
  <c r="I145" i="7"/>
  <c r="P16" i="11"/>
  <c r="Q10" i="15"/>
  <c r="I140" i="7"/>
  <c r="C141" i="7"/>
  <c r="J141" i="7" s="1"/>
  <c r="J140" i="7"/>
  <c r="Q21" i="11"/>
  <c r="N59" i="10"/>
  <c r="I143" i="7"/>
  <c r="Q10" i="14"/>
  <c r="Q11" i="13"/>
  <c r="J7" i="22"/>
  <c r="Q10" i="25"/>
  <c r="Q20" i="25"/>
  <c r="Q21" i="24"/>
  <c r="Q11" i="24"/>
  <c r="L59" i="10"/>
  <c r="G30" i="6"/>
  <c r="M59" i="10"/>
  <c r="I133" i="7"/>
  <c r="N21" i="11"/>
  <c r="N23" i="11" s="1"/>
  <c r="N28" i="11" s="1"/>
  <c r="O21" i="11"/>
  <c r="M4" i="22"/>
  <c r="K130" i="7"/>
  <c r="I131" i="7"/>
  <c r="I128" i="7"/>
  <c r="J128" i="7"/>
  <c r="C129" i="7"/>
  <c r="J129" i="7" s="1"/>
  <c r="J59" i="10"/>
  <c r="I121" i="7"/>
  <c r="I119" i="7"/>
  <c r="K118" i="7"/>
  <c r="J116" i="7"/>
  <c r="C117" i="7"/>
  <c r="J117" i="7" s="1"/>
  <c r="I116" i="7"/>
  <c r="K106" i="7"/>
  <c r="K59" i="10"/>
  <c r="I109" i="7"/>
  <c r="J104" i="7"/>
  <c r="C105" i="7"/>
  <c r="J105" i="7" s="1"/>
  <c r="I104" i="7"/>
  <c r="K104" i="7" s="1"/>
  <c r="K4" i="22"/>
  <c r="M21" i="11"/>
  <c r="I107" i="7"/>
  <c r="L20" i="25"/>
  <c r="L21" i="24"/>
  <c r="G20" i="25"/>
  <c r="G10" i="25"/>
  <c r="G11" i="24"/>
  <c r="G21" i="24"/>
  <c r="J6" i="22"/>
  <c r="I120" i="9"/>
  <c r="J3" i="22"/>
  <c r="K16" i="11"/>
  <c r="I57" i="9"/>
  <c r="I99" i="9"/>
  <c r="I78" i="9"/>
  <c r="I36" i="9"/>
  <c r="I141" i="9"/>
  <c r="D35" i="7"/>
  <c r="D22" i="7"/>
  <c r="D57" i="7"/>
  <c r="D9" i="7"/>
  <c r="D69" i="7"/>
  <c r="I59" i="10"/>
  <c r="J21" i="11"/>
  <c r="P38" i="7"/>
  <c r="K173" i="7" l="1"/>
  <c r="I174" i="7"/>
  <c r="T23" i="11"/>
  <c r="U21" i="11"/>
  <c r="V21" i="11" s="1"/>
  <c r="W21" i="11"/>
  <c r="X21" i="11" s="1"/>
  <c r="I163" i="7"/>
  <c r="K162" i="7"/>
  <c r="S23" i="11"/>
  <c r="I97" i="7"/>
  <c r="K142" i="7"/>
  <c r="N4" i="22"/>
  <c r="R23" i="11"/>
  <c r="I152" i="7"/>
  <c r="K151" i="7"/>
  <c r="I95" i="7"/>
  <c r="K94" i="7"/>
  <c r="K140" i="7"/>
  <c r="I141" i="7"/>
  <c r="P21" i="11"/>
  <c r="Q23" i="11"/>
  <c r="K128" i="7"/>
  <c r="I129" i="7"/>
  <c r="O23" i="11"/>
  <c r="I117" i="7"/>
  <c r="K116" i="7"/>
  <c r="I105" i="7"/>
  <c r="M23" i="11"/>
  <c r="J4" i="22"/>
  <c r="K21" i="11"/>
  <c r="J23" i="11"/>
  <c r="P23" i="7"/>
  <c r="P21" i="7"/>
  <c r="P20" i="7"/>
  <c r="W23" i="11" l="1"/>
  <c r="X23" i="11" s="1"/>
  <c r="U23" i="11"/>
  <c r="V23" i="11" s="1"/>
  <c r="T28" i="11"/>
  <c r="S28" i="11"/>
  <c r="R28" i="11"/>
  <c r="P23" i="11"/>
  <c r="P28" i="11" s="1"/>
  <c r="Q28" i="11"/>
  <c r="K23" i="11"/>
  <c r="O28" i="11"/>
  <c r="M28" i="11"/>
  <c r="J28" i="11"/>
  <c r="P25" i="7"/>
  <c r="U28" i="11" l="1"/>
  <c r="V28" i="11" s="1"/>
  <c r="W28" i="11"/>
  <c r="X28" i="11" s="1"/>
  <c r="K28" i="11"/>
  <c r="P10" i="7"/>
  <c r="P8" i="7"/>
  <c r="P7" i="7"/>
  <c r="P12" i="7"/>
  <c r="H73" i="7" l="1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Q181" i="9"/>
  <c r="P181" i="9"/>
  <c r="P180" i="9"/>
  <c r="P178" i="9"/>
  <c r="Q177" i="9"/>
  <c r="P177" i="9"/>
  <c r="Q167" i="9"/>
  <c r="P167" i="9"/>
  <c r="Q160" i="9"/>
  <c r="P160" i="9"/>
  <c r="P159" i="9"/>
  <c r="Q159" i="9"/>
  <c r="Q158" i="9"/>
  <c r="P158" i="9"/>
  <c r="P157" i="9"/>
  <c r="Q157" i="9"/>
  <c r="Q156" i="9"/>
  <c r="Q146" i="9"/>
  <c r="P146" i="9"/>
  <c r="P139" i="9"/>
  <c r="P138" i="9"/>
  <c r="Q138" i="9"/>
  <c r="Q137" i="9"/>
  <c r="P137" i="9"/>
  <c r="Q136" i="9"/>
  <c r="P136" i="9"/>
  <c r="P135" i="9"/>
  <c r="Q125" i="9"/>
  <c r="P125" i="9"/>
  <c r="P118" i="9"/>
  <c r="Q117" i="9"/>
  <c r="P117" i="9"/>
  <c r="Q116" i="9"/>
  <c r="Q115" i="9"/>
  <c r="P115" i="9"/>
  <c r="P114" i="9"/>
  <c r="P104" i="9"/>
  <c r="Q97" i="9"/>
  <c r="Q96" i="9"/>
  <c r="P96" i="9"/>
  <c r="Q95" i="9"/>
  <c r="P94" i="9"/>
  <c r="Q83" i="9"/>
  <c r="P83" i="9"/>
  <c r="Q76" i="9"/>
  <c r="P76" i="9"/>
  <c r="P75" i="9"/>
  <c r="Q74" i="9"/>
  <c r="P74" i="9"/>
  <c r="P73" i="9"/>
  <c r="Q72" i="9"/>
  <c r="Q62" i="9"/>
  <c r="P62" i="9"/>
  <c r="Q55" i="9"/>
  <c r="P55" i="9"/>
  <c r="Q54" i="9"/>
  <c r="P53" i="9"/>
  <c r="Q51" i="9"/>
  <c r="P51" i="9"/>
  <c r="Q41" i="9"/>
  <c r="P41" i="9"/>
  <c r="L226" i="9" s="1"/>
  <c r="P34" i="9"/>
  <c r="Q33" i="9"/>
  <c r="P32" i="9"/>
  <c r="Q31" i="9"/>
  <c r="P31" i="9"/>
  <c r="P30" i="9"/>
  <c r="Q20" i="9"/>
  <c r="P20" i="9"/>
  <c r="Q12" i="9"/>
  <c r="P11" i="9"/>
  <c r="Q9" i="9"/>
  <c r="P9" i="9"/>
  <c r="E193" i="9"/>
  <c r="C193" i="9"/>
  <c r="B190" i="9"/>
  <c r="H181" i="9"/>
  <c r="G180" i="9"/>
  <c r="G179" i="9"/>
  <c r="H179" i="9"/>
  <c r="E175" i="9"/>
  <c r="C175" i="9"/>
  <c r="B172" i="9"/>
  <c r="E166" i="9"/>
  <c r="C166" i="9"/>
  <c r="H160" i="9"/>
  <c r="H159" i="9"/>
  <c r="G159" i="9"/>
  <c r="G158" i="9"/>
  <c r="H158" i="9"/>
  <c r="H157" i="9"/>
  <c r="E154" i="9"/>
  <c r="C154" i="9"/>
  <c r="B151" i="9"/>
  <c r="E145" i="9"/>
  <c r="C145" i="9"/>
  <c r="H139" i="9"/>
  <c r="H138" i="9"/>
  <c r="G138" i="9"/>
  <c r="G137" i="9"/>
  <c r="H137" i="9"/>
  <c r="F137" i="9"/>
  <c r="H136" i="9"/>
  <c r="E133" i="9"/>
  <c r="C133" i="9"/>
  <c r="B130" i="9"/>
  <c r="E124" i="9"/>
  <c r="C124" i="9"/>
  <c r="H117" i="9"/>
  <c r="G117" i="9"/>
  <c r="G116" i="9"/>
  <c r="H116" i="9"/>
  <c r="H115" i="9"/>
  <c r="E112" i="9"/>
  <c r="C112" i="9"/>
  <c r="B109" i="9"/>
  <c r="E103" i="9"/>
  <c r="C103" i="9"/>
  <c r="H97" i="9"/>
  <c r="G96" i="9"/>
  <c r="G95" i="9"/>
  <c r="H95" i="9"/>
  <c r="H94" i="9"/>
  <c r="E91" i="9"/>
  <c r="C91" i="9"/>
  <c r="B88" i="9"/>
  <c r="E82" i="9"/>
  <c r="C82" i="9"/>
  <c r="H76" i="9"/>
  <c r="H75" i="9"/>
  <c r="G75" i="9"/>
  <c r="G74" i="9"/>
  <c r="H74" i="9"/>
  <c r="H73" i="9"/>
  <c r="H72" i="9"/>
  <c r="E70" i="9"/>
  <c r="C70" i="9"/>
  <c r="B67" i="9"/>
  <c r="E61" i="9"/>
  <c r="C61" i="9"/>
  <c r="H55" i="9"/>
  <c r="H54" i="9"/>
  <c r="G54" i="9"/>
  <c r="G53" i="9"/>
  <c r="H53" i="9"/>
  <c r="H52" i="9"/>
  <c r="H51" i="9"/>
  <c r="E49" i="9"/>
  <c r="C49" i="9"/>
  <c r="B46" i="9"/>
  <c r="E40" i="9"/>
  <c r="C40" i="9"/>
  <c r="H34" i="9"/>
  <c r="H33" i="9"/>
  <c r="G33" i="9"/>
  <c r="H30" i="9"/>
  <c r="E28" i="9"/>
  <c r="C28" i="9"/>
  <c r="E19" i="9"/>
  <c r="C19" i="9"/>
  <c r="H12" i="9"/>
  <c r="H11" i="9"/>
  <c r="G11" i="9"/>
  <c r="H8" i="9"/>
  <c r="L228" i="9" l="1"/>
  <c r="M228" i="9" s="1"/>
  <c r="L229" i="9"/>
  <c r="M229" i="9" s="1"/>
  <c r="L230" i="9"/>
  <c r="M230" i="9" s="1"/>
  <c r="L227" i="9"/>
  <c r="M227" i="9" s="1"/>
  <c r="L232" i="9"/>
  <c r="M232" i="9" s="1"/>
  <c r="L231" i="9"/>
  <c r="M231" i="9" s="1"/>
  <c r="L225" i="9"/>
  <c r="M225" i="9" s="1"/>
  <c r="M224" i="9"/>
  <c r="M226" i="9"/>
  <c r="N27" i="6"/>
  <c r="Q21" i="9"/>
  <c r="O78" i="9"/>
  <c r="O75" i="9"/>
  <c r="O74" i="9"/>
  <c r="O76" i="9"/>
  <c r="O72" i="9"/>
  <c r="O73" i="9"/>
  <c r="O99" i="9"/>
  <c r="O96" i="9"/>
  <c r="O94" i="9"/>
  <c r="O95" i="9"/>
  <c r="O97" i="9"/>
  <c r="O93" i="9"/>
  <c r="M14" i="9"/>
  <c r="M12" i="9"/>
  <c r="M8" i="9"/>
  <c r="M11" i="9"/>
  <c r="M10" i="9"/>
  <c r="M9" i="9"/>
  <c r="O57" i="9"/>
  <c r="O55" i="9"/>
  <c r="O51" i="9"/>
  <c r="O52" i="9"/>
  <c r="O53" i="9"/>
  <c r="O54" i="9"/>
  <c r="F177" i="9"/>
  <c r="F93" i="9"/>
  <c r="F74" i="9"/>
  <c r="F72" i="9"/>
  <c r="Q42" i="9"/>
  <c r="Q148" i="9"/>
  <c r="P21" i="9"/>
  <c r="Q57" i="9"/>
  <c r="P57" i="9"/>
  <c r="Q64" i="9"/>
  <c r="P64" i="9"/>
  <c r="Q127" i="9"/>
  <c r="P127" i="9"/>
  <c r="Q169" i="9"/>
  <c r="P169" i="9"/>
  <c r="P106" i="9"/>
  <c r="Q106" i="9"/>
  <c r="Q196" i="9"/>
  <c r="P196" i="9"/>
  <c r="Q22" i="9"/>
  <c r="P22" i="9"/>
  <c r="P85" i="9"/>
  <c r="Q85" i="9"/>
  <c r="Q11" i="9"/>
  <c r="Q53" i="9"/>
  <c r="Q139" i="9"/>
  <c r="P10" i="9"/>
  <c r="Q32" i="9"/>
  <c r="P52" i="9"/>
  <c r="Q73" i="9"/>
  <c r="P93" i="9"/>
  <c r="P97" i="9"/>
  <c r="Q114" i="9"/>
  <c r="P179" i="9"/>
  <c r="P183" i="9"/>
  <c r="Q94" i="9"/>
  <c r="Q135" i="9"/>
  <c r="Q10" i="9"/>
  <c r="Q52" i="9"/>
  <c r="P72" i="9"/>
  <c r="Q93" i="9"/>
  <c r="P84" i="9"/>
  <c r="P116" i="9"/>
  <c r="P8" i="9"/>
  <c r="P12" i="9"/>
  <c r="Q30" i="9"/>
  <c r="Q34" i="9"/>
  <c r="P54" i="9"/>
  <c r="P63" i="9"/>
  <c r="Q75" i="9"/>
  <c r="Q84" i="9"/>
  <c r="P95" i="9"/>
  <c r="Q8" i="9"/>
  <c r="P33" i="9"/>
  <c r="P42" i="9"/>
  <c r="L240" i="9" s="1"/>
  <c r="Q63" i="9"/>
  <c r="P156" i="9"/>
  <c r="F114" i="9"/>
  <c r="F138" i="9"/>
  <c r="F141" i="9"/>
  <c r="F30" i="9"/>
  <c r="H99" i="9"/>
  <c r="G99" i="9"/>
  <c r="C260" i="9" s="1"/>
  <c r="F139" i="9"/>
  <c r="H183" i="9"/>
  <c r="G183" i="9"/>
  <c r="C264" i="9" s="1"/>
  <c r="F117" i="9"/>
  <c r="F120" i="9"/>
  <c r="H196" i="9"/>
  <c r="G196" i="9"/>
  <c r="F36" i="9"/>
  <c r="F31" i="9"/>
  <c r="F34" i="9"/>
  <c r="F118" i="9"/>
  <c r="F96" i="9"/>
  <c r="F97" i="9"/>
  <c r="F99" i="9"/>
  <c r="F181" i="9"/>
  <c r="F32" i="9"/>
  <c r="H141" i="9"/>
  <c r="G141" i="9"/>
  <c r="C262" i="9" s="1"/>
  <c r="F116" i="9"/>
  <c r="F180" i="9"/>
  <c r="F183" i="9"/>
  <c r="F95" i="9"/>
  <c r="F135" i="9"/>
  <c r="F179" i="9"/>
  <c r="F75" i="9"/>
  <c r="F78" i="9"/>
  <c r="F33" i="9"/>
  <c r="F76" i="9"/>
  <c r="H120" i="9"/>
  <c r="G120" i="9"/>
  <c r="C261" i="9" s="1"/>
  <c r="G10" i="9"/>
  <c r="G32" i="9"/>
  <c r="H32" i="9"/>
  <c r="G9" i="9"/>
  <c r="G31" i="9"/>
  <c r="F73" i="9"/>
  <c r="F94" i="9"/>
  <c r="F115" i="9"/>
  <c r="F136" i="9"/>
  <c r="F178" i="9"/>
  <c r="C14" i="9"/>
  <c r="H9" i="9"/>
  <c r="H31" i="9"/>
  <c r="G52" i="9"/>
  <c r="G73" i="9"/>
  <c r="G94" i="9"/>
  <c r="G115" i="9"/>
  <c r="G136" i="9"/>
  <c r="G157" i="9"/>
  <c r="G178" i="9"/>
  <c r="H10" i="9"/>
  <c r="G12" i="9"/>
  <c r="G30" i="9"/>
  <c r="G34" i="9"/>
  <c r="G8" i="9"/>
  <c r="G51" i="9"/>
  <c r="G55" i="9"/>
  <c r="G72" i="9"/>
  <c r="G76" i="9"/>
  <c r="G93" i="9"/>
  <c r="G97" i="9"/>
  <c r="G114" i="9"/>
  <c r="G118" i="9"/>
  <c r="G135" i="9"/>
  <c r="G139" i="9"/>
  <c r="G156" i="9"/>
  <c r="G160" i="9"/>
  <c r="G177" i="9"/>
  <c r="G181" i="9"/>
  <c r="H93" i="9"/>
  <c r="H114" i="9"/>
  <c r="H135" i="9"/>
  <c r="H156" i="9"/>
  <c r="H177" i="9"/>
  <c r="I14" i="9" l="1"/>
  <c r="L258" i="9"/>
  <c r="L264" i="9"/>
  <c r="L233" i="9"/>
  <c r="L234" i="9" s="1"/>
  <c r="L241" i="9"/>
  <c r="M241" i="9" s="1"/>
  <c r="L239" i="9"/>
  <c r="L242" i="9"/>
  <c r="M242" i="9" s="1"/>
  <c r="C206" i="9"/>
  <c r="N32" i="6"/>
  <c r="N30" i="6" s="1"/>
  <c r="J30" i="6"/>
  <c r="M238" i="9"/>
  <c r="M240" i="9"/>
  <c r="N26" i="6"/>
  <c r="P43" i="9"/>
  <c r="Q43" i="9"/>
  <c r="P148" i="9"/>
  <c r="O141" i="9"/>
  <c r="O139" i="9"/>
  <c r="O135" i="9"/>
  <c r="O136" i="9"/>
  <c r="O137" i="9"/>
  <c r="O138" i="9"/>
  <c r="O162" i="9"/>
  <c r="O158" i="9"/>
  <c r="O156" i="9"/>
  <c r="O159" i="9"/>
  <c r="O157" i="9"/>
  <c r="O160" i="9"/>
  <c r="O14" i="9"/>
  <c r="O12" i="9"/>
  <c r="O8" i="9"/>
  <c r="O11" i="9"/>
  <c r="O10" i="9"/>
  <c r="O9" i="9"/>
  <c r="O183" i="9"/>
  <c r="O178" i="9"/>
  <c r="O179" i="9"/>
  <c r="O177" i="9"/>
  <c r="O181" i="9"/>
  <c r="O180" i="9"/>
  <c r="O120" i="9"/>
  <c r="O114" i="9"/>
  <c r="O115" i="9"/>
  <c r="O117" i="9"/>
  <c r="O116" i="9"/>
  <c r="O118" i="9"/>
  <c r="O36" i="9"/>
  <c r="O30" i="9"/>
  <c r="O31" i="9"/>
  <c r="O33" i="9"/>
  <c r="O34" i="9"/>
  <c r="O32" i="9"/>
  <c r="G162" i="9"/>
  <c r="C263" i="9" s="1"/>
  <c r="F156" i="9"/>
  <c r="H162" i="9"/>
  <c r="F158" i="9"/>
  <c r="F160" i="9"/>
  <c r="F157" i="9"/>
  <c r="F53" i="9"/>
  <c r="D9" i="9"/>
  <c r="D10" i="9"/>
  <c r="Q141" i="9"/>
  <c r="P141" i="9"/>
  <c r="Q78" i="9"/>
  <c r="P78" i="9"/>
  <c r="P99" i="9"/>
  <c r="Q99" i="9"/>
  <c r="Q198" i="9"/>
  <c r="P198" i="9"/>
  <c r="Q120" i="9"/>
  <c r="P120" i="9"/>
  <c r="Q195" i="9"/>
  <c r="P195" i="9"/>
  <c r="Q197" i="9"/>
  <c r="P197" i="9"/>
  <c r="Q199" i="9"/>
  <c r="P199" i="9"/>
  <c r="Q183" i="9"/>
  <c r="Q36" i="9"/>
  <c r="P36" i="9"/>
  <c r="Q162" i="9"/>
  <c r="P162" i="9"/>
  <c r="Q14" i="9"/>
  <c r="P14" i="9"/>
  <c r="H199" i="9"/>
  <c r="G199" i="9"/>
  <c r="F55" i="9"/>
  <c r="H198" i="9"/>
  <c r="G198" i="9"/>
  <c r="H57" i="9"/>
  <c r="G57" i="9"/>
  <c r="C258" i="9" s="1"/>
  <c r="F54" i="9"/>
  <c r="F57" i="9"/>
  <c r="F14" i="9"/>
  <c r="F9" i="9"/>
  <c r="H78" i="9"/>
  <c r="G78" i="9"/>
  <c r="C259" i="9" s="1"/>
  <c r="F10" i="9"/>
  <c r="H197" i="9"/>
  <c r="G197" i="9"/>
  <c r="H195" i="9"/>
  <c r="G195" i="9"/>
  <c r="F51" i="9"/>
  <c r="H36" i="9"/>
  <c r="G36" i="9"/>
  <c r="C257" i="9" s="1"/>
  <c r="F52" i="9"/>
  <c r="F11" i="9"/>
  <c r="D14" i="9"/>
  <c r="D12" i="9"/>
  <c r="H14" i="9"/>
  <c r="D8" i="9"/>
  <c r="G14" i="9"/>
  <c r="C256" i="9" s="1"/>
  <c r="F12" i="9"/>
  <c r="F159" i="9"/>
  <c r="F162" i="9"/>
  <c r="D11" i="9"/>
  <c r="F8" i="9"/>
  <c r="M233" i="9" l="1"/>
  <c r="L262" i="9"/>
  <c r="L256" i="9"/>
  <c r="L257" i="9"/>
  <c r="L261" i="9"/>
  <c r="L263" i="9"/>
  <c r="L260" i="9"/>
  <c r="L259" i="9"/>
  <c r="L247" i="9"/>
  <c r="L248" i="9" s="1"/>
  <c r="M239" i="9"/>
  <c r="C255" i="9"/>
  <c r="C265" i="9" s="1"/>
  <c r="C266" i="9" s="1"/>
  <c r="I121" i="9"/>
  <c r="I37" i="9"/>
  <c r="I79" i="9"/>
  <c r="I58" i="9"/>
  <c r="I100" i="9"/>
  <c r="I142" i="9"/>
  <c r="O198" i="9"/>
  <c r="F197" i="9"/>
  <c r="O195" i="9"/>
  <c r="O201" i="9"/>
  <c r="O197" i="9"/>
  <c r="O196" i="9"/>
  <c r="O199" i="9"/>
  <c r="F199" i="9"/>
  <c r="F195" i="9"/>
  <c r="F198" i="9"/>
  <c r="Q201" i="9"/>
  <c r="P201" i="9"/>
  <c r="H201" i="9"/>
  <c r="G201" i="9"/>
  <c r="F201" i="9"/>
  <c r="F196" i="9"/>
  <c r="M247" i="9" l="1"/>
  <c r="L265" i="9"/>
  <c r="L266" i="9" s="1"/>
  <c r="G72" i="7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L19" i="13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1" i="13" l="1"/>
  <c r="L25" i="13" s="1"/>
  <c r="L24" i="13"/>
  <c r="G69" i="7"/>
  <c r="F69" i="7"/>
  <c r="F22" i="7"/>
  <c r="F35" i="7"/>
  <c r="F9" i="7"/>
  <c r="F46" i="7"/>
  <c r="F57" i="7"/>
  <c r="G9" i="7"/>
  <c r="G22" i="7"/>
  <c r="E21" i="13"/>
  <c r="D21" i="13"/>
  <c r="F21" i="13" l="1"/>
  <c r="C21" i="13"/>
  <c r="C24" i="13" s="1"/>
  <c r="K25" i="6" l="1"/>
  <c r="I21" i="13"/>
  <c r="E79" i="12" l="1"/>
  <c r="F79" i="12"/>
  <c r="F5" i="12" l="1"/>
  <c r="F23" i="12" s="1"/>
  <c r="F33" i="12" s="1"/>
  <c r="F37" i="12" s="1"/>
  <c r="E5" i="12"/>
  <c r="E23" i="12" l="1"/>
  <c r="E33" i="12" s="1"/>
  <c r="E37" i="12" s="1"/>
  <c r="E70" i="12" s="1"/>
  <c r="E74" i="12" s="1"/>
  <c r="F70" i="12"/>
  <c r="F74" i="12" s="1"/>
  <c r="D79" i="12" l="1"/>
  <c r="H79" i="12"/>
  <c r="G79" i="12"/>
  <c r="C5" i="12"/>
  <c r="C23" i="12" s="1"/>
  <c r="C33" i="12" s="1"/>
  <c r="C37" i="12" s="1"/>
  <c r="D5" i="12"/>
  <c r="D23" i="12" s="1"/>
  <c r="D33" i="12" s="1"/>
  <c r="D37" i="12" s="1"/>
  <c r="G5" i="12"/>
  <c r="G23" i="12" s="1"/>
  <c r="G33" i="12" s="1"/>
  <c r="G37" i="12" s="1"/>
  <c r="H5" i="12"/>
  <c r="H23" i="12" s="1"/>
  <c r="H33" i="12" s="1"/>
  <c r="H37" i="12" s="1"/>
  <c r="H70" i="12" l="1"/>
  <c r="H74" i="12" s="1"/>
  <c r="G70" i="12"/>
  <c r="G74" i="12" s="1"/>
  <c r="D70" i="12"/>
  <c r="D74" i="12" s="1"/>
  <c r="C70" i="12"/>
  <c r="C74" i="12" s="1"/>
  <c r="C55" i="10"/>
  <c r="D55" i="10"/>
  <c r="E55" i="10"/>
  <c r="C47" i="10"/>
  <c r="D47" i="10"/>
  <c r="E47" i="10"/>
  <c r="C38" i="10"/>
  <c r="D38" i="10"/>
  <c r="E38" i="10"/>
  <c r="C22" i="10"/>
  <c r="D22" i="10"/>
  <c r="E22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80" i="12"/>
  <c r="H47" i="10"/>
  <c r="H55" i="10"/>
  <c r="H38" i="10"/>
  <c r="F47" i="10"/>
  <c r="H22" i="10"/>
  <c r="F55" i="10"/>
  <c r="F15" i="10"/>
  <c r="F38" i="10"/>
  <c r="F22" i="10"/>
  <c r="H15" i="10"/>
  <c r="E57" i="10"/>
  <c r="E58" i="10" s="1"/>
  <c r="E24" i="10"/>
  <c r="D57" i="10"/>
  <c r="D58" i="10" s="1"/>
  <c r="D24" i="10"/>
  <c r="C57" i="10"/>
  <c r="C58" i="10" s="1"/>
  <c r="C24" i="10"/>
  <c r="G15" i="10"/>
  <c r="G22" i="10"/>
  <c r="G38" i="10"/>
  <c r="G47" i="10"/>
  <c r="G55" i="10"/>
  <c r="G41" i="11"/>
  <c r="G10" i="11"/>
  <c r="G16" i="11" s="1"/>
  <c r="F12" i="11"/>
  <c r="E3" i="22" l="1"/>
  <c r="E16" i="11"/>
  <c r="F57" i="10"/>
  <c r="F58" i="10" s="1"/>
  <c r="F24" i="10"/>
  <c r="G24" i="10"/>
  <c r="H57" i="10"/>
  <c r="H58" i="10" s="1"/>
  <c r="H24" i="10"/>
  <c r="G57" i="10"/>
  <c r="G58" i="10" s="1"/>
  <c r="E59" i="10"/>
  <c r="D59" i="10"/>
  <c r="C59" i="10"/>
  <c r="G21" i="11"/>
  <c r="G23" i="11" s="1"/>
  <c r="G28" i="11" s="1"/>
  <c r="H42" i="11"/>
  <c r="H41" i="11"/>
  <c r="G78" i="12"/>
  <c r="G80" i="12" s="1"/>
  <c r="C42" i="11"/>
  <c r="F27" i="11"/>
  <c r="C78" i="12"/>
  <c r="C80" i="12" s="1"/>
  <c r="D80" i="12"/>
  <c r="F22" i="11"/>
  <c r="G7" i="22" l="1"/>
  <c r="E4" i="22"/>
  <c r="E21" i="11"/>
  <c r="E23" i="11" s="1"/>
  <c r="G59" i="10"/>
  <c r="F59" i="10"/>
  <c r="F9" i="11"/>
  <c r="H59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80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21" i="11" s="1"/>
  <c r="F3" i="22"/>
  <c r="D21" i="11"/>
  <c r="D23" i="11" s="1"/>
  <c r="D4" i="22"/>
  <c r="H21" i="11"/>
  <c r="F4" i="22" l="1"/>
  <c r="H23" i="11"/>
  <c r="C28" i="11"/>
  <c r="D28" i="11"/>
  <c r="F23" i="11" l="1"/>
  <c r="H28" i="11"/>
  <c r="I41" i="11"/>
  <c r="F28" i="11" l="1"/>
  <c r="H7" i="22"/>
  <c r="I42" i="11"/>
  <c r="H80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J44" i="7" l="1"/>
  <c r="I44" i="7"/>
  <c r="C45" i="7" l="1"/>
  <c r="J45" i="7" s="1"/>
  <c r="I45" i="7" l="1"/>
  <c r="I46" i="7" s="1"/>
  <c r="C46" i="7"/>
  <c r="J46" i="7" s="1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J7" i="7" l="1"/>
  <c r="I7" i="7"/>
  <c r="I13" i="7" s="1"/>
  <c r="J55" i="7"/>
  <c r="I55" i="7"/>
  <c r="C13" i="7"/>
  <c r="C25" i="13"/>
  <c r="C10" i="13" l="1"/>
  <c r="C11" i="13" l="1"/>
  <c r="C8" i="7"/>
  <c r="C10" i="7"/>
  <c r="I10" i="7" s="1"/>
  <c r="J8" i="7" l="1"/>
  <c r="I8" i="7"/>
  <c r="I9" i="7" s="1"/>
  <c r="C11" i="7"/>
  <c r="I11" i="7"/>
  <c r="C9" i="7"/>
  <c r="J9" i="7" s="1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J56" i="7" l="1"/>
  <c r="I56" i="7"/>
  <c r="I57" i="7" s="1"/>
  <c r="C61" i="7"/>
  <c r="C57" i="7"/>
  <c r="J57" i="7" s="1"/>
  <c r="D24" i="13"/>
  <c r="C20" i="7"/>
  <c r="D10" i="13"/>
  <c r="J20" i="7" l="1"/>
  <c r="I20" i="7"/>
  <c r="C25" i="7"/>
  <c r="I25" i="7" s="1"/>
  <c r="D11" i="13"/>
  <c r="C21" i="7"/>
  <c r="I26" i="7" l="1"/>
  <c r="J21" i="7"/>
  <c r="I21" i="7"/>
  <c r="I22" i="7" s="1"/>
  <c r="C22" i="7"/>
  <c r="J22" i="7" s="1"/>
  <c r="C26" i="7"/>
  <c r="C23" i="7"/>
  <c r="I23" i="7" s="1"/>
  <c r="I24" i="7" s="1"/>
  <c r="I24" i="13" l="1"/>
  <c r="C67" i="7"/>
  <c r="C24" i="7"/>
  <c r="I25" i="13"/>
  <c r="J67" i="7" l="1"/>
  <c r="I67" i="7"/>
  <c r="C71" i="7"/>
  <c r="C73" i="7"/>
  <c r="I10" i="13"/>
  <c r="K10" i="13" s="1"/>
  <c r="K11" i="13" l="1"/>
  <c r="C92" i="7"/>
  <c r="I73" i="7"/>
  <c r="I71" i="7"/>
  <c r="C68" i="7"/>
  <c r="I11" i="13"/>
  <c r="C93" i="7" l="1"/>
  <c r="J93" i="7" s="1"/>
  <c r="J92" i="7"/>
  <c r="I92" i="7"/>
  <c r="J68" i="7"/>
  <c r="I68" i="7"/>
  <c r="I69" i="7" s="1"/>
  <c r="C69" i="7"/>
  <c r="J69" i="7" s="1"/>
  <c r="I93" i="7" l="1"/>
  <c r="K92" i="7"/>
  <c r="F80" i="9"/>
  <c r="F143" i="9"/>
  <c r="F122" i="9"/>
  <c r="H59" i="9"/>
  <c r="F59" i="9"/>
  <c r="F164" i="9"/>
  <c r="F16" i="9" l="1"/>
  <c r="H122" i="9"/>
  <c r="G122" i="9"/>
  <c r="O16" i="9"/>
  <c r="H16" i="9"/>
  <c r="G16" i="9"/>
  <c r="D16" i="9"/>
  <c r="H80" i="9"/>
  <c r="G80" i="9"/>
  <c r="G59" i="9"/>
  <c r="H143" i="9"/>
  <c r="G143" i="9"/>
  <c r="H164" i="9"/>
  <c r="G164" i="9"/>
  <c r="E186" i="9"/>
  <c r="F38" i="9"/>
  <c r="O101" i="9"/>
  <c r="O59" i="9"/>
  <c r="O143" i="9"/>
  <c r="F101" i="9"/>
  <c r="O122" i="9"/>
  <c r="O80" i="9"/>
  <c r="O38" i="9"/>
  <c r="O164" i="9"/>
  <c r="Q59" i="9" l="1"/>
  <c r="P59" i="9"/>
  <c r="G185" i="9"/>
  <c r="C186" i="9"/>
  <c r="H185" i="9"/>
  <c r="G38" i="9"/>
  <c r="P38" i="9"/>
  <c r="Q38" i="9"/>
  <c r="P80" i="9"/>
  <c r="Q80" i="9"/>
  <c r="H101" i="9"/>
  <c r="G101" i="9"/>
  <c r="H38" i="9"/>
  <c r="Q164" i="9"/>
  <c r="P164" i="9"/>
  <c r="Q185" i="9"/>
  <c r="P185" i="9"/>
  <c r="P101" i="9"/>
  <c r="Q101" i="9"/>
  <c r="Q143" i="9"/>
  <c r="P143" i="9"/>
  <c r="Q16" i="9"/>
  <c r="P16" i="9"/>
  <c r="M16" i="9"/>
  <c r="Q122" i="9"/>
  <c r="P122" i="9"/>
  <c r="G203" i="9" l="1"/>
  <c r="H203" i="9"/>
  <c r="P203" i="9"/>
  <c r="Q203" i="9"/>
  <c r="G79" i="7" l="1"/>
  <c r="F79" i="7"/>
  <c r="J24" i="13" l="1"/>
  <c r="C79" i="7"/>
  <c r="J19" i="24"/>
  <c r="J9" i="14"/>
  <c r="J9" i="15"/>
  <c r="H81" i="7"/>
  <c r="J79" i="7" l="1"/>
  <c r="I79" i="7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J20" i="24"/>
  <c r="J10" i="24"/>
  <c r="D80" i="7" l="1"/>
  <c r="D81" i="7" s="1"/>
  <c r="J21" i="24"/>
  <c r="J11" i="24"/>
  <c r="G82" i="7"/>
  <c r="J13" i="15"/>
  <c r="C80" i="7"/>
  <c r="J11" i="13"/>
  <c r="J80" i="7" l="1"/>
  <c r="I80" i="7"/>
  <c r="G83" i="7"/>
  <c r="C82" i="7"/>
  <c r="I82" i="7" s="1"/>
  <c r="C81" i="7"/>
  <c r="J81" i="7" s="1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J33" i="7" l="1"/>
  <c r="I33" i="7"/>
  <c r="E11" i="13"/>
  <c r="C34" i="7"/>
  <c r="J34" i="7" l="1"/>
  <c r="I34" i="7"/>
  <c r="I35" i="7" s="1"/>
  <c r="C35" i="7"/>
  <c r="J35" i="7" s="1"/>
  <c r="C36" i="7"/>
  <c r="I36" i="7" s="1"/>
  <c r="I37" i="7" s="1"/>
  <c r="C37" i="7" l="1"/>
  <c r="C38" i="7" l="1"/>
  <c r="I38" i="7" s="1"/>
  <c r="I39" i="7" s="1"/>
  <c r="C39" i="7" l="1"/>
  <c r="N5" i="22" l="1"/>
  <c r="E127" i="9" l="1"/>
  <c r="E85" i="9"/>
  <c r="E106" i="9" l="1"/>
  <c r="E148" i="9"/>
  <c r="E43" i="9"/>
  <c r="E64" i="9"/>
  <c r="C169" i="9"/>
  <c r="C210" i="9"/>
  <c r="C213" i="9" s="1"/>
  <c r="G21" i="9"/>
  <c r="H21" i="9"/>
  <c r="C22" i="9"/>
  <c r="H20" i="9"/>
  <c r="G20" i="9"/>
  <c r="E22" i="9"/>
  <c r="E210" i="9"/>
  <c r="E213" i="9" s="1"/>
  <c r="E209" i="9"/>
  <c r="H168" i="9"/>
  <c r="G168" i="9"/>
  <c r="H146" i="9"/>
  <c r="G146" i="9"/>
  <c r="E169" i="9"/>
  <c r="G147" i="9"/>
  <c r="C148" i="9"/>
  <c r="G42" i="9"/>
  <c r="H42" i="9"/>
  <c r="C43" i="9"/>
  <c r="G41" i="9"/>
  <c r="H41" i="9"/>
  <c r="G105" i="9"/>
  <c r="C106" i="9"/>
  <c r="G104" i="9"/>
  <c r="C64" i="9"/>
  <c r="H63" i="9"/>
  <c r="G63" i="9"/>
  <c r="H62" i="9"/>
  <c r="G62" i="9"/>
  <c r="C85" i="9"/>
  <c r="H84" i="9"/>
  <c r="G84" i="9"/>
  <c r="H83" i="9"/>
  <c r="G83" i="9"/>
  <c r="G126" i="9"/>
  <c r="C127" i="9"/>
  <c r="H125" i="9"/>
  <c r="G125" i="9"/>
  <c r="C224" i="9" l="1"/>
  <c r="E212" i="9"/>
  <c r="C244" i="9"/>
  <c r="D244" i="9" s="1"/>
  <c r="C241" i="9"/>
  <c r="D241" i="9" s="1"/>
  <c r="C239" i="9"/>
  <c r="D239" i="9" s="1"/>
  <c r="C240" i="9"/>
  <c r="D240" i="9" s="1"/>
  <c r="C229" i="9"/>
  <c r="C245" i="9"/>
  <c r="D245" i="9" s="1"/>
  <c r="C243" i="9"/>
  <c r="D243" i="9" s="1"/>
  <c r="C225" i="9"/>
  <c r="C246" i="9"/>
  <c r="D246" i="9" s="1"/>
  <c r="C228" i="9"/>
  <c r="C230" i="9"/>
  <c r="C227" i="9"/>
  <c r="C231" i="9"/>
  <c r="D231" i="9" s="1"/>
  <c r="C242" i="9"/>
  <c r="D242" i="9" s="1"/>
  <c r="C226" i="9"/>
  <c r="C209" i="9"/>
  <c r="C212" i="9" s="1"/>
  <c r="H43" i="9"/>
  <c r="G43" i="9"/>
  <c r="H64" i="9"/>
  <c r="G64" i="9"/>
  <c r="H148" i="9"/>
  <c r="G148" i="9"/>
  <c r="H169" i="9"/>
  <c r="G169" i="9"/>
  <c r="H85" i="9"/>
  <c r="G85" i="9"/>
  <c r="C238" i="9"/>
  <c r="H127" i="9"/>
  <c r="G127" i="9"/>
  <c r="H167" i="9"/>
  <c r="G167" i="9"/>
  <c r="H22" i="9"/>
  <c r="G22" i="9"/>
  <c r="G106" i="9"/>
  <c r="H106" i="9"/>
  <c r="D230" i="9" l="1"/>
  <c r="D228" i="9"/>
  <c r="C232" i="9"/>
  <c r="D232" i="9" s="1"/>
  <c r="D226" i="9"/>
  <c r="D229" i="9"/>
  <c r="D227" i="9"/>
  <c r="D225" i="9"/>
  <c r="D238" i="9"/>
  <c r="C247" i="9"/>
  <c r="D224" i="9"/>
  <c r="C233" i="9" l="1"/>
  <c r="D247" i="9"/>
  <c r="C248" i="9"/>
  <c r="D233" i="9"/>
  <c r="C234" i="9"/>
  <c r="O5" i="22" l="1"/>
  <c r="O53" i="12" l="1"/>
  <c r="O55" i="12" s="1"/>
  <c r="O70" i="12" s="1"/>
  <c r="O73" i="12" l="1"/>
  <c r="O72" i="12" l="1"/>
  <c r="O74" i="12" s="1"/>
  <c r="P5" i="22" l="1"/>
  <c r="Q53" i="12" l="1"/>
  <c r="Q55" i="12" s="1"/>
  <c r="Q70" i="12" s="1"/>
  <c r="Q73" i="12" l="1"/>
  <c r="Q72" i="12" l="1"/>
  <c r="Q74" i="12" s="1"/>
</calcChain>
</file>

<file path=xl/sharedStrings.xml><?xml version="1.0" encoding="utf-8"?>
<sst xmlns="http://schemas.openxmlformats.org/spreadsheetml/2006/main" count="1273" uniqueCount="355">
  <si>
    <t>Choose Currency:</t>
  </si>
  <si>
    <t xml:space="preserve"> IR Data Book 2024</t>
  </si>
  <si>
    <t>Investor Relations Contacts</t>
  </si>
  <si>
    <t>Nicolas Sibuet</t>
  </si>
  <si>
    <t>Chief Financial Officer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</si>
  <si>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</si>
  <si>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</si>
  <si>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</si>
  <si>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</si>
  <si>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</si>
  <si>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</si>
  <si>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</si>
  <si>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</si>
  <si>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</si>
  <si>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</si>
  <si>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</si>
  <si>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</si>
  <si>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</si>
  <si>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</si>
  <si>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</si>
  <si>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2024 Vs 2023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</si>
  <si>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</si>
  <si>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</si>
  <si>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</si>
  <si>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</si>
  <si>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</si>
  <si>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</si>
  <si>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</si>
  <si>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</si>
  <si>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Q3 2022</t>
  </si>
  <si>
    <t>Q4 2022</t>
  </si>
  <si>
    <t>2022</t>
  </si>
  <si>
    <t>Q1 2023</t>
  </si>
  <si>
    <t>Q2 2023</t>
  </si>
  <si>
    <t>Q3 2023</t>
  </si>
  <si>
    <t>Q4 2023</t>
  </si>
  <si>
    <t>2023</t>
  </si>
  <si>
    <t>Q1 2024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</si>
  <si>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</si>
  <si>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</si>
  <si>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</si>
  <si>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</si>
  <si>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</si>
  <si>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</si>
  <si>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</si>
  <si>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</si>
  <si>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</si>
  <si>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</si>
  <si>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</si>
  <si>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</si>
  <si>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</si>
  <si>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</si>
  <si>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</si>
  <si>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</si>
  <si>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</si>
  <si>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</si>
  <si>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</si>
  <si>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</si>
  <si>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</si>
  <si>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</si>
  <si>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</si>
  <si>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</si>
  <si>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</si>
  <si>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</si>
  <si>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</si>
  <si>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</si>
  <si>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</si>
  <si>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</si>
  <si>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</si>
  <si>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>Dividends</t>
  </si>
  <si>
    <t xml:space="preserve">Dividends % of capital </t>
  </si>
  <si>
    <t>N/A</t>
  </si>
  <si>
    <t xml:space="preserve">Dividends payout ratio </t>
  </si>
  <si>
    <t>Dividend per share (AED)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</si>
  <si>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</si>
  <si>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</si>
  <si>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</si>
  <si>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</si>
  <si>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</si>
  <si>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</si>
  <si>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</si>
  <si>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</si>
  <si>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</si>
  <si>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</si>
  <si>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</si>
  <si>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</si>
  <si>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</si>
  <si>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</si>
  <si>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</si>
  <si>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</si>
  <si>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</si>
  <si>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</si>
  <si>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</si>
  <si>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</si>
  <si>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</si>
  <si>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</si>
  <si>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</si>
  <si>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</si>
  <si>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</si>
  <si>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</si>
  <si>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</si>
  <si>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</si>
  <si>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</si>
  <si>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</si>
  <si>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</si>
  <si>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</si>
  <si>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</si>
  <si>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</si>
  <si>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</si>
  <si>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</si>
  <si>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</si>
  <si>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</si>
  <si>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</si>
  <si>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</si>
  <si>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</si>
  <si>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</si>
  <si>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</si>
  <si>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</si>
  <si>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</si>
  <si>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</si>
  <si>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</si>
  <si>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</si>
  <si>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</si>
  <si>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</si>
  <si>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</si>
  <si>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</si>
  <si>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</si>
  <si>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</si>
  <si>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</si>
  <si>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</si>
  <si>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</si>
  <si>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</si>
  <si>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</si>
  <si>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</si>
  <si>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</si>
  <si>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</si>
  <si>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</si>
  <si>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</si>
  <si>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</si>
  <si>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</si>
  <si>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</si>
  <si>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</si>
  <si>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</si>
  <si>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</si>
  <si>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</si>
  <si>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</si>
  <si>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</si>
  <si>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</si>
  <si>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Gain on disposal of right of use assets and lease liabilities</t>
  </si>
  <si>
    <t xml:space="preserve">Insurance refund 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</si>
  <si>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</si>
  <si>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</si>
  <si>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</si>
  <si>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</si>
  <si>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</si>
  <si>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Other Non current Liabilities 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</si>
  <si>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</si>
  <si>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</si>
  <si>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</si>
  <si>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</si>
  <si>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</si>
  <si>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</si>
  <si>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</si>
  <si>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</si>
  <si>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</si>
  <si>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</si>
  <si>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</si>
  <si>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</si>
  <si>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</si>
  <si>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Payment for Acquisition of Subsidery, Net of cash aquired</t>
  </si>
  <si>
    <t>Dividends from joint ventures</t>
  </si>
  <si>
    <t>Acquisition of a group of assets</t>
  </si>
  <si>
    <t>Other non-current assets</t>
  </si>
  <si>
    <t>Restricted cash*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</si>
  <si>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</si>
  <si>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</si>
  <si>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</si>
  <si>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</si>
  <si>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</si>
  <si>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</si>
  <si>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</si>
  <si>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Principal elements of lease payments</t>
  </si>
  <si>
    <t>Dividends paid to non-controlling interests</t>
  </si>
  <si>
    <t>Directors’ fees paid</t>
  </si>
  <si>
    <t>Dividends paid to shareholders</t>
  </si>
  <si>
    <t xml:space="preserve">Acquistion of non-controlling interests 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</si>
  <si>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</si>
  <si>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</si>
  <si>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</si>
  <si>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</si>
  <si>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</si>
  <si>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</si>
  <si>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</si>
  <si>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</si>
  <si>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</si>
  <si>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</si>
  <si>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</si>
  <si>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SepYTD'22</t>
  </si>
  <si>
    <t>DecYTD'22</t>
  </si>
  <si>
    <t>Jun YTD'23</t>
  </si>
  <si>
    <t>SepYTD'23</t>
  </si>
  <si>
    <t>DecYTD'23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</si>
  <si>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</si>
  <si>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</si>
  <si>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</si>
  <si>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</si>
  <si>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</si>
  <si>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</si>
  <si>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</si>
  <si>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</si>
  <si>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</si>
  <si>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</si>
  <si>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</si>
  <si>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</si>
  <si>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</si>
  <si>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</si>
  <si>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</si>
  <si>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</si>
  <si>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</si>
  <si>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</si>
  <si>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Total Int'l ExpressVolumes</t>
  </si>
  <si>
    <t>Average revenue per shipment Express+Parcel Forwarding</t>
  </si>
  <si>
    <t>Average cost per shipment Express+Parcel Forwarding</t>
  </si>
  <si>
    <t>Average GP per shipment Express+Parcel Forwarding</t>
  </si>
  <si>
    <t>Average revenue per shipment</t>
  </si>
  <si>
    <t>Average cost per shipment</t>
  </si>
  <si>
    <t>Average GP per shipment</t>
  </si>
  <si>
    <t>L/F # of FTL</t>
  </si>
  <si>
    <t>L/F # of LTL Kgs</t>
  </si>
  <si>
    <t>S/F # of FCL TEU</t>
  </si>
  <si>
    <t>S/F # of LCL CBM</t>
  </si>
  <si>
    <t>A/F # of Kgs</t>
  </si>
  <si>
    <t>MENAT</t>
  </si>
  <si>
    <t>All figures are in '(000)</t>
  </si>
  <si>
    <t>All figures are in AED'(000)</t>
  </si>
  <si>
    <t>Actual</t>
  </si>
  <si>
    <t>VAR</t>
  </si>
  <si>
    <t>Express + Parcel Forwarding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</si>
  <si>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</si>
  <si>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</si>
  <si>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</si>
  <si>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</si>
  <si>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</si>
  <si>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</si>
  <si>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</si>
  <si>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Africa (East &amp; South)</t>
  </si>
  <si>
    <t>Europe</t>
  </si>
  <si>
    <t>America</t>
  </si>
  <si>
    <t>NA</t>
  </si>
  <si>
    <t>North Asia</t>
  </si>
  <si>
    <t>South Asia</t>
  </si>
  <si>
    <t>Oceania</t>
  </si>
  <si>
    <t>Others</t>
  </si>
  <si>
    <t>Total</t>
  </si>
  <si>
    <t xml:space="preserve">Total  Volumes </t>
  </si>
  <si>
    <t>Express +Parcel Forwarding</t>
  </si>
  <si>
    <t>Domestic Volumes</t>
  </si>
  <si>
    <t>Express Volumes</t>
  </si>
  <si>
    <t xml:space="preserve">Revenue </t>
  </si>
  <si>
    <t>Holding compaines</t>
  </si>
  <si>
    <t>Aramex Historic Revenues by Product Segment 2020 - 2024</t>
  </si>
  <si>
    <t>Q1 2020</t>
  </si>
  <si>
    <t xml:space="preserve">Courier </t>
  </si>
  <si>
    <t>Express+SNS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</si>
  <si>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</si>
  <si>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</si>
  <si>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</si>
  <si>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</si>
  <si>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</si>
  <si>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</si>
  <si>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</si>
  <si>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</si>
  <si>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Express+Parcel Forwarding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</si>
  <si>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</si>
  <si>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</si>
  <si>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</si>
  <si>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</si>
  <si>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</si>
  <si>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</si>
  <si>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</si>
  <si>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</si>
  <si>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</si>
  <si>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</si>
  <si>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</si>
  <si>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</si>
  <si>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</si>
  <si>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</si>
  <si>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</si>
  <si>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</si>
  <si>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</si>
  <si>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</si>
  <si>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</si>
  <si>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</si>
  <si>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</si>
  <si>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</si>
  <si>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</si>
  <si>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</si>
  <si>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</si>
  <si>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</si>
  <si>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</si>
  <si>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</si>
  <si>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</si>
  <si>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</si>
  <si>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Qrt'22</t>
  </si>
  <si>
    <t>Full year 2022</t>
  </si>
  <si>
    <t>4th Qrt'2</t>
  </si>
  <si>
    <t>1st Qrt'23</t>
  </si>
  <si>
    <t>2nd Qrt'23</t>
  </si>
  <si>
    <t>3rd Qrt'23</t>
  </si>
  <si>
    <t>4th Qrt'23</t>
  </si>
  <si>
    <t>Full year 2023</t>
  </si>
  <si>
    <t>1st Qrt'24</t>
  </si>
  <si>
    <t>2nd Qrt'24</t>
  </si>
  <si>
    <t>3rd Qrt'24</t>
  </si>
  <si>
    <t>4th Qrt'24</t>
  </si>
  <si>
    <t>Full year 2024</t>
  </si>
  <si>
    <t>International Express+ Parcel Forwarding</t>
  </si>
  <si>
    <t>Key Figures and Ratios</t>
  </si>
  <si>
    <t>Gross Profit Margin %</t>
  </si>
  <si>
    <t>EBIT %</t>
  </si>
  <si>
    <t>Net Profit Margin %</t>
  </si>
  <si>
    <t xml:space="preserve">EPS (AED)from continuing operation </t>
  </si>
  <si>
    <t>Mar YTD'21</t>
  </si>
  <si>
    <t>DecYTD'21</t>
  </si>
  <si>
    <t>Sep YTD'22</t>
  </si>
  <si>
    <t>Dec YTD'22</t>
  </si>
  <si>
    <t>Mar YTD'23</t>
  </si>
  <si>
    <t>Sep YTD'23</t>
  </si>
  <si>
    <t>Dec YTD'23</t>
  </si>
  <si>
    <t>Mar YTD'24</t>
  </si>
  <si>
    <t>Debt/Equity %</t>
  </si>
  <si>
    <t>Debt/Equity % (Excluding IFRS 16)</t>
  </si>
  <si>
    <t>Q2 2024</t>
  </si>
  <si>
    <t>Q2'24</t>
  </si>
  <si>
    <t>Jun YTD'24</t>
  </si>
  <si>
    <t xml:space="preserve">  Other Receivables</t>
  </si>
  <si>
    <t xml:space="preserve">Non controlling Interest </t>
  </si>
  <si>
    <t>Aramex Historic Express Revenues and Volumes 2018 - 2024</t>
  </si>
  <si>
    <t>Liquidity provider Deposit</t>
  </si>
  <si>
    <t xml:space="preserve">Own shares </t>
  </si>
  <si>
    <t xml:space="preserve">Own shares reserve </t>
  </si>
  <si>
    <t>Q3 2024 and Q3 2023</t>
  </si>
  <si>
    <t>Q3 2024</t>
  </si>
  <si>
    <t xml:space="preserve">Sep'24 YTD vs Sep'23 YTD </t>
  </si>
  <si>
    <t>Q3 24 vs Q3 23</t>
  </si>
  <si>
    <t>Q3'24</t>
  </si>
  <si>
    <t>Q3'24 vs Q3'23</t>
  </si>
  <si>
    <t>Sep'23 YTD</t>
  </si>
  <si>
    <t>Sep'24 YTD</t>
  </si>
  <si>
    <t>Sep'24 YTD vs Sep'23 YTD</t>
  </si>
  <si>
    <t>Sep YTD'24</t>
  </si>
  <si>
    <t>Q3'2023</t>
  </si>
  <si>
    <t>Q3'2024</t>
  </si>
  <si>
    <t>USD</t>
  </si>
  <si>
    <t>Total DOM Express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</si>
</sst>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#,##0;\(#,##0\)"/>
    <numFmt numFmtId="169" formatCode="0%_);[Red]\(0%\)"/>
    <numFmt numFmtId="170" formatCode="0.0%"/>
    <numFmt numFmtId="171" formatCode="0.000"/>
    <numFmt numFmtId="172" formatCode="#,##0.0_);[Red]\(#,##0.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7" fillId="0" borderId="0" xfId="6" applyFont="1"/>
    <xf numFmtId="9" fontId="7" fillId="0" borderId="0" xfId="2" applyFont="1"/>
    <xf numFmtId="0" fontId="8" fillId="0" borderId="0" xfId="6" applyFont="1"/>
    <xf numFmtId="164" fontId="7" fillId="0" borderId="0" xfId="6" applyNumberFormat="1" applyFont="1"/>
    <xf numFmtId="164" fontId="10" fillId="2" borderId="3" xfId="7" applyNumberFormat="1" applyFont="1" applyFill="1" applyBorder="1" applyAlignment="1">
      <alignment horizontal="left" vertical="center"/>
    </xf>
    <xf numFmtId="164" fontId="10" fillId="2" borderId="4" xfId="7" applyNumberFormat="1" applyFont="1" applyFill="1" applyBorder="1" applyAlignment="1">
      <alignment horizontal="left" vertical="center"/>
    </xf>
    <xf numFmtId="164" fontId="10" fillId="2" borderId="5" xfId="7" applyNumberFormat="1" applyFont="1" applyFill="1" applyBorder="1" applyAlignment="1">
      <alignment horizontal="left" vertical="center"/>
    </xf>
    <xf numFmtId="164" fontId="10" fillId="3" borderId="3" xfId="7" applyNumberFormat="1" applyFont="1" applyFill="1" applyBorder="1" applyAlignment="1">
      <alignment horizontal="left" vertical="center"/>
    </xf>
    <xf numFmtId="164" fontId="10" fillId="3" borderId="4" xfId="7" applyNumberFormat="1" applyFont="1" applyFill="1" applyBorder="1" applyAlignment="1">
      <alignment horizontal="left" vertical="center"/>
    </xf>
    <xf numFmtId="164" fontId="10" fillId="3" borderId="6" xfId="7" applyNumberFormat="1" applyFont="1" applyFill="1" applyBorder="1" applyAlignment="1">
      <alignment horizontal="left" vertical="center"/>
    </xf>
    <xf numFmtId="164" fontId="10" fillId="2" borderId="6" xfId="7" applyNumberFormat="1" applyFont="1" applyFill="1" applyBorder="1" applyAlignment="1">
      <alignment horizontal="left" vertical="center"/>
    </xf>
    <xf numFmtId="0" fontId="7" fillId="0" borderId="0" xfId="6" applyFont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0" fontId="10" fillId="2" borderId="3" xfId="6" applyFont="1" applyFill="1" applyBorder="1" applyAlignment="1">
      <alignment horizontal="left" vertical="center" wrapText="1"/>
    </xf>
    <xf numFmtId="0" fontId="7" fillId="0" borderId="0" xfId="6" applyFont="1" applyAlignment="1">
      <alignment horizontal="left"/>
    </xf>
    <xf numFmtId="0" fontId="10" fillId="3" borderId="3" xfId="6" applyFont="1" applyFill="1" applyBorder="1" applyAlignment="1">
      <alignment horizontal="left" vertical="center" wrapText="1" indent="2"/>
    </xf>
    <xf numFmtId="0" fontId="10" fillId="2" borderId="3" xfId="6" applyFont="1" applyFill="1" applyBorder="1" applyAlignment="1">
      <alignment horizontal="left" vertical="center" wrapText="1" indent="2"/>
    </xf>
    <xf numFmtId="0" fontId="13" fillId="0" borderId="0" xfId="8" applyAlignment="1">
      <alignment horizontal="left" indent="1"/>
    </xf>
    <xf numFmtId="0" fontId="7" fillId="0" borderId="0" xfId="0" applyFont="1"/>
    <xf numFmtId="0" fontId="11" fillId="0" borderId="0" xfId="0" applyFont="1"/>
    <xf numFmtId="0" fontId="7" fillId="0" borderId="0" xfId="9" applyFont="1"/>
    <xf numFmtId="0" fontId="8" fillId="0" borderId="0" xfId="9" applyFont="1"/>
    <xf numFmtId="0" fontId="7" fillId="0" borderId="0" xfId="9" quotePrefix="1" applyFont="1" applyAlignment="1">
      <alignment horizontal="left"/>
    </xf>
    <xf numFmtId="0" fontId="8" fillId="0" borderId="0" xfId="9" quotePrefix="1" applyFont="1" applyAlignment="1">
      <alignment horizontal="left"/>
    </xf>
    <xf numFmtId="0" fontId="7" fillId="0" borderId="0" xfId="9" applyFont="1" applyAlignment="1">
      <alignment horizontal="left"/>
    </xf>
    <xf numFmtId="0" fontId="16" fillId="0" borderId="0" xfId="9" applyFont="1"/>
    <xf numFmtId="38" fontId="7" fillId="0" borderId="0" xfId="0" applyNumberFormat="1" applyFont="1"/>
    <xf numFmtId="38" fontId="8" fillId="0" borderId="12" xfId="9" applyNumberFormat="1" applyFont="1" applyBorder="1"/>
    <xf numFmtId="38" fontId="11" fillId="0" borderId="24" xfId="0" applyNumberFormat="1" applyFont="1" applyBorder="1"/>
    <xf numFmtId="171" fontId="7" fillId="0" borderId="0" xfId="0" applyNumberFormat="1" applyFont="1"/>
    <xf numFmtId="169" fontId="7" fillId="0" borderId="0" xfId="2" applyNumberFormat="1" applyFont="1"/>
    <xf numFmtId="169" fontId="7" fillId="0" borderId="0" xfId="0" applyNumberFormat="1" applyFont="1"/>
    <xf numFmtId="38" fontId="8" fillId="0" borderId="0" xfId="9" applyNumberFormat="1" applyFont="1"/>
    <xf numFmtId="38" fontId="7" fillId="0" borderId="11" xfId="0" applyNumberFormat="1" applyFont="1" applyBorder="1"/>
    <xf numFmtId="169" fontId="7" fillId="0" borderId="11" xfId="2" applyNumberFormat="1" applyFont="1" applyBorder="1"/>
    <xf numFmtId="38" fontId="8" fillId="0" borderId="0" xfId="0" applyNumberFormat="1" applyFont="1"/>
    <xf numFmtId="169" fontId="8" fillId="0" borderId="0" xfId="2" applyNumberFormat="1" applyFont="1"/>
    <xf numFmtId="38" fontId="8" fillId="0" borderId="24" xfId="0" applyNumberFormat="1" applyFont="1" applyBorder="1"/>
    <xf numFmtId="169" fontId="8" fillId="0" borderId="24" xfId="2" applyNumberFormat="1" applyFont="1" applyBorder="1"/>
    <xf numFmtId="0" fontId="7" fillId="0" borderId="0" xfId="0" applyFont="1" applyAlignment="1">
      <alignment wrapText="1"/>
    </xf>
    <xf numFmtId="38" fontId="11" fillId="0" borderId="25" xfId="0" applyNumberFormat="1" applyFont="1" applyBorder="1"/>
    <xf numFmtId="38" fontId="11" fillId="0" borderId="26" xfId="0" applyNumberFormat="1" applyFont="1" applyBorder="1"/>
    <xf numFmtId="38" fontId="11" fillId="0" borderId="12" xfId="0" applyNumberFormat="1" applyFont="1" applyBorder="1"/>
    <xf numFmtId="40" fontId="7" fillId="0" borderId="0" xfId="0" applyNumberFormat="1" applyFont="1"/>
    <xf numFmtId="0" fontId="18" fillId="0" borderId="0" xfId="0" applyFont="1" applyAlignment="1">
      <alignment horizontal="justify"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8" fontId="11" fillId="0" borderId="24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center"/>
    </xf>
    <xf numFmtId="0" fontId="21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27" xfId="0" applyFont="1" applyBorder="1"/>
    <xf numFmtId="38" fontId="7" fillId="0" borderId="0" xfId="0" applyNumberFormat="1" applyFont="1" applyAlignment="1">
      <alignment vertical="center"/>
    </xf>
    <xf numFmtId="38" fontId="7" fillId="0" borderId="0" xfId="1" applyNumberFormat="1" applyFont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8" fillId="0" borderId="0" xfId="0" applyFont="1"/>
    <xf numFmtId="0" fontId="14" fillId="5" borderId="0" xfId="0" applyFont="1" applyFill="1" applyAlignment="1">
      <alignment horizontal="left"/>
    </xf>
    <xf numFmtId="49" fontId="9" fillId="5" borderId="0" xfId="0" applyNumberFormat="1" applyFont="1" applyFill="1"/>
    <xf numFmtId="0" fontId="15" fillId="6" borderId="1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23" fillId="7" borderId="0" xfId="0" applyFont="1" applyFill="1" applyAlignment="1">
      <alignment horizontal="left"/>
    </xf>
    <xf numFmtId="49" fontId="24" fillId="7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left" indent="2"/>
    </xf>
    <xf numFmtId="0" fontId="26" fillId="0" borderId="0" xfId="0" applyFont="1"/>
    <xf numFmtId="0" fontId="26" fillId="8" borderId="0" xfId="0" applyFont="1" applyFill="1"/>
    <xf numFmtId="38" fontId="7" fillId="0" borderId="0" xfId="1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8" fontId="7" fillId="0" borderId="0" xfId="3" applyNumberFormat="1" applyFont="1" applyBorder="1"/>
    <xf numFmtId="38" fontId="8" fillId="0" borderId="0" xfId="3" applyNumberFormat="1" applyFont="1" applyBorder="1"/>
    <xf numFmtId="165" fontId="7" fillId="0" borderId="0" xfId="1" applyNumberFormat="1" applyFont="1"/>
    <xf numFmtId="164" fontId="7" fillId="0" borderId="0" xfId="1" applyNumberFormat="1" applyFont="1"/>
    <xf numFmtId="0" fontId="8" fillId="0" borderId="26" xfId="0" applyFont="1" applyBorder="1"/>
    <xf numFmtId="164" fontId="8" fillId="0" borderId="26" xfId="0" applyNumberFormat="1" applyFont="1" applyBorder="1"/>
    <xf numFmtId="165" fontId="7" fillId="0" borderId="0" xfId="0" applyNumberFormat="1" applyFont="1"/>
    <xf numFmtId="0" fontId="9" fillId="12" borderId="1" xfId="6" applyFont="1" applyFill="1" applyBorder="1" applyAlignment="1">
      <alignment horizontal="left" vertical="center" wrapText="1"/>
    </xf>
    <xf numFmtId="0" fontId="9" fillId="12" borderId="1" xfId="6" applyFont="1" applyFill="1" applyBorder="1" applyAlignment="1">
      <alignment horizontal="center" vertical="center" wrapText="1"/>
    </xf>
    <xf numFmtId="0" fontId="9" fillId="12" borderId="2" xfId="6" applyFont="1" applyFill="1" applyBorder="1" applyAlignment="1">
      <alignment horizontal="center" vertical="center" wrapText="1"/>
    </xf>
    <xf numFmtId="0" fontId="9" fillId="12" borderId="14" xfId="6" applyFont="1" applyFill="1" applyBorder="1" applyAlignment="1">
      <alignment horizontal="left" vertical="center"/>
    </xf>
    <xf numFmtId="0" fontId="9" fillId="12" borderId="15" xfId="6" applyFont="1" applyFill="1" applyBorder="1" applyAlignment="1">
      <alignment horizontal="center" vertical="center" wrapText="1"/>
    </xf>
    <xf numFmtId="0" fontId="9" fillId="12" borderId="16" xfId="6" applyFont="1" applyFill="1" applyBorder="1" applyAlignment="1">
      <alignment horizontal="center" vertical="center" wrapText="1"/>
    </xf>
    <xf numFmtId="0" fontId="10" fillId="10" borderId="17" xfId="6" applyFont="1" applyFill="1" applyBorder="1" applyAlignment="1">
      <alignment horizontal="left" vertical="center"/>
    </xf>
    <xf numFmtId="164" fontId="10" fillId="10" borderId="3" xfId="7" applyNumberFormat="1" applyFont="1" applyFill="1" applyBorder="1" applyAlignment="1">
      <alignment horizontal="left" vertical="center"/>
    </xf>
    <xf numFmtId="164" fontId="10" fillId="10" borderId="4" xfId="7" applyNumberFormat="1" applyFont="1" applyFill="1" applyBorder="1" applyAlignment="1">
      <alignment horizontal="left" vertical="center"/>
    </xf>
    <xf numFmtId="164" fontId="10" fillId="10" borderId="5" xfId="7" applyNumberFormat="1" applyFont="1" applyFill="1" applyBorder="1" applyAlignment="1">
      <alignment horizontal="left" vertical="center"/>
    </xf>
    <xf numFmtId="0" fontId="10" fillId="11" borderId="17" xfId="6" applyFont="1" applyFill="1" applyBorder="1" applyAlignment="1">
      <alignment horizontal="left" vertical="center" indent="2"/>
    </xf>
    <xf numFmtId="164" fontId="10" fillId="11" borderId="3" xfId="7" applyNumberFormat="1" applyFont="1" applyFill="1" applyBorder="1" applyAlignment="1">
      <alignment horizontal="left" vertical="center"/>
    </xf>
    <xf numFmtId="164" fontId="10" fillId="11" borderId="4" xfId="7" applyNumberFormat="1" applyFont="1" applyFill="1" applyBorder="1" applyAlignment="1">
      <alignment horizontal="left" vertical="center"/>
    </xf>
    <xf numFmtId="164" fontId="10" fillId="11" borderId="6" xfId="7" applyNumberFormat="1" applyFont="1" applyFill="1" applyBorder="1" applyAlignment="1">
      <alignment horizontal="left" vertical="center"/>
    </xf>
    <xf numFmtId="0" fontId="10" fillId="10" borderId="18" xfId="6" applyFont="1" applyFill="1" applyBorder="1" applyAlignment="1">
      <alignment horizontal="left" vertical="center" indent="2"/>
    </xf>
    <xf numFmtId="164" fontId="10" fillId="10" borderId="19" xfId="7" applyNumberFormat="1" applyFont="1" applyFill="1" applyBorder="1" applyAlignment="1">
      <alignment horizontal="left" vertical="center"/>
    </xf>
    <xf numFmtId="164" fontId="10" fillId="10" borderId="20" xfId="7" applyNumberFormat="1" applyFont="1" applyFill="1" applyBorder="1" applyAlignment="1">
      <alignment horizontal="left" vertical="center"/>
    </xf>
    <xf numFmtId="164" fontId="10" fillId="10" borderId="7" xfId="7" applyNumberFormat="1" applyFont="1" applyFill="1" applyBorder="1" applyAlignment="1">
      <alignment horizontal="left" vertical="center"/>
    </xf>
    <xf numFmtId="0" fontId="9" fillId="12" borderId="21" xfId="6" applyFont="1" applyFill="1" applyBorder="1" applyAlignment="1">
      <alignment horizontal="center" vertical="center" wrapText="1"/>
    </xf>
    <xf numFmtId="164" fontId="10" fillId="10" borderId="3" xfId="7" applyNumberFormat="1" applyFont="1" applyFill="1" applyBorder="1" applyAlignment="1">
      <alignment horizontal="center" vertical="center" wrapText="1"/>
    </xf>
    <xf numFmtId="164" fontId="10" fillId="10" borderId="22" xfId="7" applyNumberFormat="1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 wrapText="1"/>
    </xf>
    <xf numFmtId="164" fontId="10" fillId="11" borderId="22" xfId="7" applyNumberFormat="1" applyFont="1" applyFill="1" applyBorder="1" applyAlignment="1">
      <alignment horizontal="center" vertical="center" wrapText="1"/>
    </xf>
    <xf numFmtId="164" fontId="10" fillId="10" borderId="19" xfId="7" applyNumberFormat="1" applyFont="1" applyFill="1" applyBorder="1" applyAlignment="1">
      <alignment horizontal="center" vertical="center" wrapText="1"/>
    </xf>
    <xf numFmtId="164" fontId="10" fillId="10" borderId="23" xfId="7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7" fillId="12" borderId="0" xfId="0" applyFont="1" applyFill="1"/>
    <xf numFmtId="38" fontId="7" fillId="0" borderId="8" xfId="1" applyNumberFormat="1" applyFont="1" applyBorder="1"/>
    <xf numFmtId="38" fontId="7" fillId="0" borderId="9" xfId="1" applyNumberFormat="1" applyFont="1" applyBorder="1"/>
    <xf numFmtId="0" fontId="7" fillId="0" borderId="10" xfId="0" applyFont="1" applyBorder="1"/>
    <xf numFmtId="38" fontId="7" fillId="0" borderId="0" xfId="1" applyNumberFormat="1" applyFont="1" applyBorder="1"/>
    <xf numFmtId="0" fontId="14" fillId="13" borderId="0" xfId="0" applyFont="1" applyFill="1" applyAlignment="1">
      <alignment horizontal="left"/>
    </xf>
    <xf numFmtId="49" fontId="9" fillId="13" borderId="0" xfId="0" applyNumberFormat="1" applyFont="1" applyFill="1"/>
    <xf numFmtId="0" fontId="15" fillId="14" borderId="11" xfId="0" applyFont="1" applyFill="1" applyBorder="1" applyAlignment="1">
      <alignment horizontal="left"/>
    </xf>
    <xf numFmtId="49" fontId="9" fillId="13" borderId="11" xfId="0" applyNumberFormat="1" applyFont="1" applyFill="1" applyBorder="1" applyAlignment="1">
      <alignment horizontal="center"/>
    </xf>
    <xf numFmtId="49" fontId="9" fillId="13" borderId="11" xfId="0" applyNumberFormat="1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left"/>
    </xf>
    <xf numFmtId="0" fontId="27" fillId="0" borderId="0" xfId="0" applyFont="1"/>
    <xf numFmtId="0" fontId="30" fillId="12" borderId="0" xfId="0" applyFont="1" applyFill="1" applyAlignment="1">
      <alignment horizontal="center"/>
    </xf>
    <xf numFmtId="43" fontId="7" fillId="0" borderId="0" xfId="0" applyNumberFormat="1" applyFont="1"/>
    <xf numFmtId="0" fontId="15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15" borderId="0" xfId="0" applyFont="1" applyFill="1"/>
    <xf numFmtId="166" fontId="7" fillId="0" borderId="0" xfId="0" applyNumberFormat="1" applyFont="1"/>
    <xf numFmtId="9" fontId="7" fillId="0" borderId="0" xfId="2" applyFont="1" applyBorder="1" applyAlignment="1">
      <alignment horizontal="center"/>
    </xf>
    <xf numFmtId="166" fontId="7" fillId="0" borderId="0" xfId="4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166" fontId="8" fillId="0" borderId="0" xfId="4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11" xfId="0" applyFont="1" applyBorder="1"/>
    <xf numFmtId="164" fontId="7" fillId="0" borderId="0" xfId="0" applyNumberFormat="1" applyFont="1"/>
    <xf numFmtId="164" fontId="21" fillId="0" borderId="0" xfId="0" applyNumberFormat="1" applyFont="1"/>
    <xf numFmtId="164" fontId="21" fillId="0" borderId="0" xfId="1" applyNumberFormat="1" applyFont="1"/>
    <xf numFmtId="0" fontId="15" fillId="6" borderId="0" xfId="0" applyFont="1" applyFill="1" applyAlignment="1">
      <alignment horizontal="center"/>
    </xf>
    <xf numFmtId="0" fontId="7" fillId="0" borderId="28" xfId="0" applyFont="1" applyBorder="1"/>
    <xf numFmtId="164" fontId="7" fillId="0" borderId="28" xfId="1" applyNumberFormat="1" applyFont="1" applyBorder="1"/>
    <xf numFmtId="0" fontId="7" fillId="0" borderId="29" xfId="0" applyFont="1" applyBorder="1"/>
    <xf numFmtId="170" fontId="7" fillId="0" borderId="28" xfId="0" applyNumberFormat="1" applyFont="1" applyBorder="1"/>
    <xf numFmtId="0" fontId="21" fillId="0" borderId="28" xfId="0" applyFont="1" applyBorder="1"/>
    <xf numFmtId="38" fontId="7" fillId="0" borderId="27" xfId="1" applyNumberFormat="1" applyFont="1" applyBorder="1"/>
    <xf numFmtId="169" fontId="7" fillId="0" borderId="27" xfId="2" applyNumberFormat="1" applyFont="1" applyBorder="1"/>
    <xf numFmtId="169" fontId="7" fillId="0" borderId="9" xfId="2" applyNumberFormat="1" applyFont="1" applyBorder="1"/>
    <xf numFmtId="169" fontId="7" fillId="0" borderId="10" xfId="2" applyNumberFormat="1" applyFont="1" applyBorder="1"/>
    <xf numFmtId="0" fontId="31" fillId="0" borderId="0" xfId="0" applyFont="1" applyAlignment="1">
      <alignment vertical="center"/>
    </xf>
    <xf numFmtId="0" fontId="17" fillId="0" borderId="0" xfId="6" applyFont="1"/>
    <xf numFmtId="0" fontId="17" fillId="0" borderId="0" xfId="0" applyFont="1"/>
    <xf numFmtId="0" fontId="7" fillId="4" borderId="0" xfId="0" applyFont="1" applyFill="1"/>
    <xf numFmtId="0" fontId="8" fillId="15" borderId="0" xfId="0" applyFont="1" applyFill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2" fillId="0" borderId="0" xfId="8" applyFont="1" applyAlignment="1">
      <alignment horizontal="left" indent="1"/>
    </xf>
    <xf numFmtId="0" fontId="17" fillId="12" borderId="0" xfId="0" applyFont="1" applyFill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8" fontId="15" fillId="6" borderId="0" xfId="0" applyNumberFormat="1" applyFont="1" applyFill="1" applyAlignment="1">
      <alignment horizontal="center"/>
    </xf>
    <xf numFmtId="38" fontId="7" fillId="0" borderId="0" xfId="4" applyNumberFormat="1" applyFont="1" applyBorder="1" applyAlignment="1">
      <alignment horizontal="right"/>
    </xf>
    <xf numFmtId="38" fontId="7" fillId="0" borderId="0" xfId="3" applyNumberFormat="1" applyFont="1" applyBorder="1" applyAlignment="1">
      <alignment horizontal="center"/>
    </xf>
    <xf numFmtId="38" fontId="7" fillId="0" borderId="0" xfId="1" applyNumberFormat="1" applyFont="1"/>
    <xf numFmtId="38" fontId="21" fillId="0" borderId="0" xfId="0" applyNumberFormat="1" applyFont="1"/>
    <xf numFmtId="49" fontId="9" fillId="5" borderId="0" xfId="0" applyNumberFormat="1" applyFont="1" applyFill="1" applyAlignment="1">
      <alignment horizontal="center" wrapText="1"/>
    </xf>
    <xf numFmtId="0" fontId="9" fillId="14" borderId="11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right"/>
    </xf>
    <xf numFmtId="0" fontId="8" fillId="17" borderId="0" xfId="0" applyFont="1" applyFill="1"/>
    <xf numFmtId="0" fontId="7" fillId="17" borderId="0" xfId="0" applyFont="1" applyFill="1"/>
    <xf numFmtId="49" fontId="33" fillId="16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49" fontId="33" fillId="7" borderId="0" xfId="0" applyNumberFormat="1" applyFont="1" applyFill="1" applyAlignment="1">
      <alignment horizontal="left"/>
    </xf>
    <xf numFmtId="49" fontId="34" fillId="0" borderId="0" xfId="0" applyNumberFormat="1" applyFont="1" applyAlignment="1">
      <alignment horizontal="left" indent="2"/>
    </xf>
    <xf numFmtId="168" fontId="19" fillId="16" borderId="0" xfId="0" applyNumberFormat="1" applyFont="1" applyFill="1" applyAlignment="1">
      <alignment horizontal="right"/>
    </xf>
    <xf numFmtId="38" fontId="19" fillId="16" borderId="0" xfId="0" applyNumberFormat="1" applyFont="1" applyFill="1" applyAlignment="1">
      <alignment horizontal="right"/>
    </xf>
    <xf numFmtId="169" fontId="19" fillId="16" borderId="0" xfId="2" applyNumberFormat="1" applyFont="1" applyFill="1" applyBorder="1" applyAlignment="1">
      <alignment horizontal="right"/>
    </xf>
    <xf numFmtId="168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/>
    </xf>
    <xf numFmtId="169" fontId="19" fillId="7" borderId="0" xfId="2" applyNumberFormat="1" applyFont="1" applyFill="1" applyBorder="1" applyAlignment="1">
      <alignment horizontal="right"/>
    </xf>
    <xf numFmtId="169" fontId="21" fillId="0" borderId="0" xfId="2" applyNumberFormat="1" applyFont="1" applyFill="1" applyBorder="1"/>
    <xf numFmtId="168" fontId="19" fillId="7" borderId="0" xfId="0" applyNumberFormat="1" applyFont="1" applyFill="1" applyAlignment="1">
      <alignment horizontal="right"/>
    </xf>
    <xf numFmtId="38" fontId="19" fillId="7" borderId="0" xfId="0" applyNumberFormat="1" applyFont="1" applyFill="1" applyAlignment="1">
      <alignment horizontal="right"/>
    </xf>
    <xf numFmtId="38" fontId="19" fillId="9" borderId="0" xfId="0" applyNumberFormat="1" applyFont="1" applyFill="1" applyAlignment="1">
      <alignment horizontal="right"/>
    </xf>
    <xf numFmtId="169" fontId="19" fillId="9" borderId="0" xfId="2" applyNumberFormat="1" applyFont="1" applyFill="1" applyBorder="1" applyAlignment="1">
      <alignment horizontal="right"/>
    </xf>
    <xf numFmtId="49" fontId="35" fillId="16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38" fontId="19" fillId="17" borderId="0" xfId="0" applyNumberFormat="1" applyFont="1" applyFill="1" applyAlignment="1">
      <alignment horizontal="right"/>
    </xf>
    <xf numFmtId="49" fontId="35" fillId="7" borderId="0" xfId="0" applyNumberFormat="1" applyFont="1" applyFill="1" applyAlignment="1">
      <alignment horizontal="left"/>
    </xf>
    <xf numFmtId="0" fontId="19" fillId="0" borderId="0" xfId="0" applyFont="1"/>
    <xf numFmtId="0" fontId="19" fillId="8" borderId="0" xfId="0" applyFont="1" applyFill="1"/>
    <xf numFmtId="0" fontId="10" fillId="0" borderId="0" xfId="0" applyFont="1"/>
    <xf numFmtId="0" fontId="9" fillId="5" borderId="0" xfId="0" applyFont="1" applyFill="1" applyAlignment="1">
      <alignment horizontal="center"/>
    </xf>
    <xf numFmtId="2" fontId="7" fillId="0" borderId="0" xfId="0" applyNumberFormat="1" applyFont="1"/>
    <xf numFmtId="38" fontId="7" fillId="0" borderId="0" xfId="1" applyNumberFormat="1" applyFont="1" applyFill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170" fontId="7" fillId="0" borderId="9" xfId="2" applyNumberFormat="1" applyFont="1" applyFill="1" applyBorder="1" applyAlignment="1">
      <alignment vertical="center"/>
    </xf>
    <xf numFmtId="38" fontId="7" fillId="0" borderId="8" xfId="0" applyNumberFormat="1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/>
    <xf numFmtId="1" fontId="7" fillId="0" borderId="0" xfId="0" applyNumberFormat="1" applyFont="1"/>
    <xf numFmtId="172" fontId="7" fillId="0" borderId="0" xfId="0" applyNumberFormat="1" applyFont="1"/>
    <xf numFmtId="0" fontId="30" fillId="12" borderId="0" xfId="0" applyFont="1" applyFill="1" applyAlignment="1">
      <alignment horizontal="center" vertical="center"/>
    </xf>
    <xf numFmtId="170" fontId="7" fillId="0" borderId="0" xfId="2" applyNumberFormat="1" applyFont="1" applyFill="1"/>
    <xf numFmtId="0" fontId="36" fillId="0" borderId="0" xfId="0" applyFont="1"/>
    <xf numFmtId="10" fontId="7" fillId="0" borderId="0" xfId="0" applyNumberFormat="1" applyFont="1"/>
    <xf numFmtId="164" fontId="15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26" xfId="0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9" fontId="7" fillId="0" borderId="28" xfId="2" applyFont="1" applyBorder="1"/>
    <xf numFmtId="167" fontId="8" fillId="0" borderId="24" xfId="2" applyNumberFormat="1" applyFont="1" applyBorder="1"/>
    <xf numFmtId="170" fontId="7" fillId="0" borderId="0" xfId="2" applyNumberFormat="1" applyFont="1"/>
    <xf numFmtId="0" fontId="10" fillId="0" borderId="8" xfId="0" applyFont="1" applyBorder="1" applyAlignment="1">
      <alignment vertical="center"/>
    </xf>
    <xf numFmtId="164" fontId="7" fillId="0" borderId="8" xfId="1" applyNumberFormat="1" applyFont="1" applyBorder="1"/>
    <xf numFmtId="164" fontId="10" fillId="0" borderId="8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4" fontId="7" fillId="0" borderId="9" xfId="1" applyNumberFormat="1" applyFont="1" applyBorder="1"/>
    <xf numFmtId="164" fontId="10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10" fillId="0" borderId="10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9" fontId="19" fillId="0" borderId="0" xfId="2" applyNumberFormat="1" applyFont="1" applyFill="1" applyBorder="1" applyAlignment="1">
      <alignment horizontal="right"/>
    </xf>
    <xf numFmtId="168" fontId="7" fillId="0" borderId="0" xfId="0" applyNumberFormat="1" applyFont="1"/>
    <xf numFmtId="9" fontId="7" fillId="0" borderId="0" xfId="2" applyFont="1" applyFill="1"/>
    <xf numFmtId="3" fontId="7" fillId="0" borderId="0" xfId="0" applyNumberFormat="1" applyFont="1"/>
    <xf numFmtId="43" fontId="7" fillId="0" borderId="0" xfId="6" applyNumberFormat="1" applyFont="1"/>
    <xf numFmtId="38" fontId="8" fillId="0" borderId="0" xfId="3" applyNumberFormat="1" applyFont="1" applyFill="1" applyBorder="1"/>
    <xf numFmtId="9" fontId="7" fillId="0" borderId="0" xfId="2" applyFont="1" applyFill="1" applyBorder="1" applyAlignment="1">
      <alignment horizontal="center"/>
    </xf>
    <xf numFmtId="40" fontId="7" fillId="0" borderId="0" xfId="3" applyNumberFormat="1" applyFont="1" applyBorder="1"/>
    <xf numFmtId="164" fontId="7" fillId="0" borderId="30" xfId="1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/>
    </xf>
    <xf numFmtId="166" fontId="7" fillId="0" borderId="11" xfId="4" applyNumberFormat="1" applyFont="1" applyBorder="1" applyAlignment="1">
      <alignment horizontal="right"/>
    </xf>
    <xf numFmtId="164" fontId="10" fillId="0" borderId="23" xfId="7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>
      <alignment horizontal="center"/>
    </xf>
    <xf numFmtId="38" fontId="7" fillId="0" borderId="0" xfId="3" applyNumberFormat="1" applyFont="1" applyFill="1" applyBorder="1"/>
    <xf numFmtId="38" fontId="7" fillId="0" borderId="0" xfId="3" applyNumberFormat="1" applyFont="1" applyFill="1" applyBorder="1" applyAlignment="1">
      <alignment horizontal="center"/>
    </xf>
    <xf numFmtId="164" fontId="39" fillId="0" borderId="0" xfId="1" applyNumberFormat="1" applyFont="1" applyFill="1"/>
    <xf numFmtId="164" fontId="0" fillId="0" borderId="0" xfId="1" applyNumberFormat="1" applyFont="1"/>
    <xf numFmtId="164" fontId="37" fillId="0" borderId="0" xfId="1" applyNumberFormat="1" applyFont="1" applyAlignment="1">
      <alignment horizontal="right"/>
    </xf>
    <xf numFmtId="164" fontId="38" fillId="0" borderId="0" xfId="1" applyNumberFormat="1" applyFont="1" applyAlignment="1">
      <alignment horizontal="right"/>
    </xf>
    <xf numFmtId="164" fontId="7" fillId="17" borderId="0" xfId="1" applyNumberFormat="1" applyFont="1" applyFill="1"/>
    <xf numFmtId="9" fontId="7" fillId="0" borderId="0" xfId="2" applyFont="1" applyAlignment="1">
      <alignment horizontal="center"/>
    </xf>
    <xf numFmtId="38" fontId="7" fillId="0" borderId="8" xfId="1" applyNumberFormat="1" applyFont="1" applyFill="1" applyBorder="1"/>
    <xf numFmtId="38" fontId="7" fillId="0" borderId="9" xfId="1" applyNumberFormat="1" applyFont="1" applyFill="1" applyBorder="1"/>
    <xf numFmtId="169" fontId="7" fillId="0" borderId="27" xfId="2" applyNumberFormat="1" applyFont="1" applyFill="1" applyBorder="1"/>
    <xf numFmtId="38" fontId="7" fillId="0" borderId="27" xfId="1" applyNumberFormat="1" applyFont="1" applyFill="1" applyBorder="1"/>
    <xf numFmtId="169" fontId="7" fillId="0" borderId="10" xfId="2" applyNumberFormat="1" applyFont="1" applyFill="1" applyBorder="1"/>
    <xf numFmtId="4" fontId="7" fillId="0" borderId="0" xfId="0" applyNumberFormat="1" applyFont="1"/>
    <xf numFmtId="0" fontId="9" fillId="5" borderId="0" xfId="0" applyFont="1" applyFill="1" applyAlignment="1">
      <alignment horizontal="left" wrapText="1"/>
    </xf>
    <xf numFmtId="49" fontId="9" fillId="13" borderId="0" xfId="0" applyNumberFormat="1" applyFont="1" applyFill="1" applyAlignment="1">
      <alignment horizontal="center" wrapText="1"/>
    </xf>
    <xf numFmtId="49" fontId="9" fillId="5" borderId="0" xfId="0" applyNumberFormat="1" applyFont="1" applyFill="1" applyAlignment="1">
      <alignment horizontal="center" wrapText="1"/>
    </xf>
    <xf numFmtId="0" fontId="30" fillId="12" borderId="0" xfId="0" applyFont="1" applyFill="1" applyAlignment="1">
      <alignment horizontal="center"/>
    </xf>
  </cellXfs>
  <cellStyles count="20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3" xfId="15" xr:uid="{073AFA0E-1FF9-4154-BD4C-1491862C35D0}"/>
    <cellStyle name="Comma 4" xfId="18" xr:uid="{5AC73F3D-880C-4288-8490-19ABC9BA724D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4" xfId="17" xr:uid="{809EE0BF-1352-425A-BE1D-CB60406D1939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9-BS-3rdQUPAC'24.xlsx" TargetMode="External"/><Relationship Id="rId1" Type="http://schemas.openxmlformats.org/officeDocument/2006/relationships/externalLinkPath" Target="/sites/Finance/docs/balance_sheet/2024/Aramex%20PJSC/Manual%20Consolidation/09-BS-3rdQUPAC'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2/Adaptive%20Consolidation/EBIT%20Per%20Product/12-Dec'22/12-Dec%20YTD%20Consolidation%20-%20updated%20excluding%20UK%20&amp;%20IRE.xlsx" TargetMode="External"/><Relationship Id="rId1" Type="http://schemas.openxmlformats.org/officeDocument/2006/relationships/externalLinkPath" Target="/sites/Finance/docs/income_statements/2022/Adaptive%20Consolidation/EBIT%20Per%20Product/12-Dec'22/12-Dec%20YTD%20Consolidation%20-%20updated%20excluding%20UK%20&amp;%20IRE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EBIT%20Per%20Product/12-Dec'23/12-4thQrt%20Consolidation.xlsx" TargetMode="External"/><Relationship Id="rId1" Type="http://schemas.openxmlformats.org/officeDocument/2006/relationships/externalLinkPath" Target="/sites/Finance/docs/income_statements/2023/Adaptive%20Consolidation/EBIT%20Per%20Product/12-Dec'23/12-4thQrt%20Consolidation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3-Mar'24/03-1stQrt%20Consolidation.xlsx" TargetMode="External"/><Relationship Id="rId1" Type="http://schemas.openxmlformats.org/officeDocument/2006/relationships/externalLinkPath" Target="/sites/Finance/docs/income_statements/2024/Adaptive%20Consolidation/EBIT%20Per%20Product/03-Mar'24/03-1stQrt%20Consolid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6-Jun'24/06-2ndQrt%20Consolidation.xlsx" TargetMode="External"/><Relationship Id="rId1" Type="http://schemas.openxmlformats.org/officeDocument/2006/relationships/externalLinkPath" Target="/sites/Finance/docs/income_statements/2024/Adaptive%20Consolidation/EBIT%20Per%20Product/06-Jun'24/06-2ndQrt%20Consolid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9-Sep'24/09-3rdQrt%20Consolidation.xlsx" TargetMode="External"/><Relationship Id="rId1" Type="http://schemas.openxmlformats.org/officeDocument/2006/relationships/externalLinkPath" Target="/sites/Finance/docs/income_statements/2024/Adaptive%20Consolidation/EBIT%20Per%20Product/09-Sep'24/09-3rdQrt%20Consolida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9-Sep24%20Package%20AFS.xlsx" TargetMode="External"/><Relationship Id="rId1" Type="http://schemas.openxmlformats.org/officeDocument/2006/relationships/externalLinkPath" Target="/sites/Finance/docs/income_statements/2024/Adaptive%20Consolidation/09-Sep24%20Package%20AFS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IS%20package%20per%20region/09-Sep'24/09-Sep'24%20Regional%20IS%20package.xlsx" TargetMode="External"/><Relationship Id="rId1" Type="http://schemas.openxmlformats.org/officeDocument/2006/relationships/externalLinkPath" Target="/sites/Finance/docs/income_statements/2024/Adaptive%20Consolidation/IS%20package%20per%20region/09-Sep'24/09-Sep'24%20Regional%20IS%20package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presentations/Board%20presentations/2024/09-Sep/Volumes%20Sep'24.xlsx" TargetMode="External"/><Relationship Id="rId1" Type="http://schemas.openxmlformats.org/officeDocument/2006/relationships/externalLinkPath" Target="/sites/Finance/docs/presentations/Board%20presentations/2024/09-Sep/Volumes%20Sep'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12-Dec23%20Package%20AFS.xlsx" TargetMode="External"/><Relationship Id="rId1" Type="http://schemas.openxmlformats.org/officeDocument/2006/relationships/externalLinkPath" Target="/sites/Finance/docs/income_statements/2023/Adaptive%20Consolidation/12-Dec23%20Package%20A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3-Mar24%20Package%20AFS.xlsx" TargetMode="External"/><Relationship Id="rId1" Type="http://schemas.openxmlformats.org/officeDocument/2006/relationships/externalLinkPath" Target="/sites/Finance/docs/income_statements/2024/Adaptive%20Consolidation/03-Mar24%20Package%20AFS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6-Jun24%20Package%20AFS.xlsx" TargetMode="External"/><Relationship Id="rId1" Type="http://schemas.openxmlformats.org/officeDocument/2006/relationships/externalLinkPath" Target="/sites/Finance/docs/income_statements/2024/Adaptive%20Consolidation/06-Jun24%20Package%20AF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1/Adaptive%20Consolidation/05-May21%20Package%20AFS.xlsx" TargetMode="External"/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3/Aramex%20PJSC/Manual%20Consolidation/12-BS-4thQUPAC'23.xlsx" TargetMode="External"/><Relationship Id="rId1" Type="http://schemas.openxmlformats.org/officeDocument/2006/relationships/externalLinkPath" Target="/sites/Finance/docs/balance_sheet/2023/Aramex%20PJSC/Manual%20Consolidation/12-BS-4thQUPAC'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3-BS-1stQUPAC'24.xlsx" TargetMode="External"/><Relationship Id="rId1" Type="http://schemas.openxmlformats.org/officeDocument/2006/relationships/externalLinkPath" Target="/sites/Finance/docs/balance_sheet/2024/Aramex%20PJSC/Manual%20Consolidation/03-BS-1stQUPAC'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6-BS-2ndQUPAC'24.xlsx" TargetMode="External"/><Relationship Id="rId1" Type="http://schemas.openxmlformats.org/officeDocument/2006/relationships/externalLinkPath" Target="/sites/Finance/docs/balance_sheet/2024/Aramex%20PJSC/Manual%20Consolidation/06-BS-2ndQUPAC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Sep YTD'24 Exc Info"/>
      <sheetName val="Sep YTD 24 Package-AED  Exc Inf"/>
      <sheetName val="IS package 3rd Qrt'24 Exc Info"/>
      <sheetName val="3rd Qrt 24 Package-AED  Exc Inf"/>
      <sheetName val="Comprehensive Income Sep YTD'24"/>
      <sheetName val="Comprehensive Income 3rd Qrt'24"/>
      <sheetName val="Changes in Equity 3rdQrt'24"/>
      <sheetName val="Provisions"/>
      <sheetName val="B.S PJSC"/>
      <sheetName val="W.P PJSC"/>
      <sheetName val="PJSC Detailed C.F 3rd Qrt'24"/>
      <sheetName val="C.F Final as Financials"/>
      <sheetName val="Sheet PJSC"/>
      <sheetName val="Sheet Info"/>
      <sheetName val="Cash disclosure"/>
      <sheetName val="Deposits Sep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1592356.0932372939</v>
          </cell>
        </row>
        <row r="13">
          <cell r="C13">
            <v>-1219294.1263746631</v>
          </cell>
        </row>
        <row r="15">
          <cell r="C15">
            <v>-89144.907333719413</v>
          </cell>
        </row>
        <row r="16">
          <cell r="C16">
            <v>-1822.009599166237</v>
          </cell>
        </row>
        <row r="17">
          <cell r="C17">
            <v>-2.3210831999999999</v>
          </cell>
        </row>
        <row r="18">
          <cell r="C18">
            <v>-221489.69659303641</v>
          </cell>
        </row>
        <row r="19">
          <cell r="C19">
            <v>0</v>
          </cell>
        </row>
        <row r="20">
          <cell r="C20">
            <v>7518.3287791840621</v>
          </cell>
        </row>
        <row r="23">
          <cell r="C23">
            <v>1005.3827413667943</v>
          </cell>
        </row>
        <row r="24">
          <cell r="C24">
            <v>-29928.717936135516</v>
          </cell>
        </row>
        <row r="25">
          <cell r="C25">
            <v>-767.17392543981703</v>
          </cell>
        </row>
        <row r="27">
          <cell r="C27">
            <v>-11110.244963243953</v>
          </cell>
        </row>
        <row r="31">
          <cell r="C31">
            <v>-200.75617195775348</v>
          </cell>
        </row>
        <row r="37">
          <cell r="C37">
            <v>26885.890230758265</v>
          </cell>
        </row>
        <row r="38">
          <cell r="C38">
            <v>-200.75617195775337</v>
          </cell>
        </row>
        <row r="41">
          <cell r="C41">
            <v>434.71671848174554</v>
          </cell>
        </row>
      </sheetData>
      <sheetData sheetId="3"/>
      <sheetData sheetId="4"/>
      <sheetData sheetId="5"/>
      <sheetData sheetId="6"/>
      <sheetData sheetId="7"/>
      <sheetData sheetId="8">
        <row r="10">
          <cell r="C10">
            <v>852791.6565628238</v>
          </cell>
        </row>
        <row r="11">
          <cell r="C11">
            <v>840634.02236238483</v>
          </cell>
        </row>
        <row r="12">
          <cell r="C12">
            <v>1771401.8135929287</v>
          </cell>
        </row>
        <row r="13">
          <cell r="C13">
            <v>306546.75346327433</v>
          </cell>
        </row>
        <row r="14">
          <cell r="C14">
            <v>35505.982447594004</v>
          </cell>
        </row>
        <row r="15">
          <cell r="C15">
            <v>18008.006031006527</v>
          </cell>
        </row>
        <row r="16">
          <cell r="C16">
            <v>32688.948351135248</v>
          </cell>
        </row>
        <row r="17">
          <cell r="C17">
            <v>18400.770085596265</v>
          </cell>
        </row>
        <row r="21">
          <cell r="C21">
            <v>1047684.8942224793</v>
          </cell>
        </row>
        <row r="22">
          <cell r="C22">
            <v>2858.5898355888344</v>
          </cell>
        </row>
        <row r="23">
          <cell r="C23">
            <v>326596.87552883226</v>
          </cell>
        </row>
        <row r="24">
          <cell r="C24">
            <v>6349.2719485399921</v>
          </cell>
        </row>
        <row r="25">
          <cell r="C25">
            <v>441105.68785975716</v>
          </cell>
        </row>
        <row r="27">
          <cell r="C27">
            <v>3221.236886470685</v>
          </cell>
        </row>
        <row r="31">
          <cell r="C31">
            <v>1464100.0004904012</v>
          </cell>
        </row>
        <row r="32">
          <cell r="C32">
            <v>-2750.9309041797142</v>
          </cell>
        </row>
        <row r="33">
          <cell r="C33">
            <v>-4390.7515543090522</v>
          </cell>
        </row>
        <row r="34">
          <cell r="C34">
            <v>500813.97055780329</v>
          </cell>
        </row>
        <row r="35">
          <cell r="C35">
            <v>-587499.56015831151</v>
          </cell>
        </row>
        <row r="36">
          <cell r="C36">
            <v>-336985.87682925095</v>
          </cell>
        </row>
        <row r="37">
          <cell r="C37">
            <v>-11564.428730174783</v>
          </cell>
        </row>
        <row r="38">
          <cell r="C38">
            <v>1481613.4411829798</v>
          </cell>
        </row>
        <row r="40">
          <cell r="C40">
            <v>2503335.8640549583</v>
          </cell>
        </row>
        <row r="41">
          <cell r="C41">
            <v>4913.7597498051673</v>
          </cell>
        </row>
        <row r="46">
          <cell r="C46">
            <v>929794.6427843147</v>
          </cell>
        </row>
        <row r="47">
          <cell r="C47">
            <v>751693.92752880813</v>
          </cell>
        </row>
        <row r="48">
          <cell r="C48">
            <v>193902.19099780856</v>
          </cell>
        </row>
        <row r="49">
          <cell r="C49">
            <v>42088.331721515562</v>
          </cell>
        </row>
        <row r="50">
          <cell r="C50">
            <v>11599.461041366812</v>
          </cell>
        </row>
        <row r="54">
          <cell r="C54">
            <v>320752.18352725316</v>
          </cell>
        </row>
        <row r="55">
          <cell r="C55">
            <v>178457.85088868969</v>
          </cell>
        </row>
        <row r="56">
          <cell r="C56">
            <v>5576.551437132317</v>
          </cell>
        </row>
        <row r="57">
          <cell r="C57">
            <v>37345.210871544099</v>
          </cell>
        </row>
        <row r="58">
          <cell r="C58">
            <v>33881.413865503913</v>
          </cell>
        </row>
        <row r="59">
          <cell r="C59">
            <v>31468.615424975254</v>
          </cell>
        </row>
        <row r="60">
          <cell r="C60">
            <v>657279.15926640469</v>
          </cell>
        </row>
        <row r="62">
          <cell r="C62">
            <v>1705.3475205304114</v>
          </cell>
        </row>
      </sheetData>
      <sheetData sheetId="9"/>
      <sheetData sheetId="10"/>
      <sheetData sheetId="11">
        <row r="9">
          <cell r="C9">
            <v>119457.5189120509</v>
          </cell>
        </row>
        <row r="10">
          <cell r="C10">
            <v>-835.958419240941</v>
          </cell>
        </row>
        <row r="14">
          <cell r="C14">
            <v>85927.009413395048</v>
          </cell>
        </row>
        <row r="15">
          <cell r="C15">
            <v>170376.02728595299</v>
          </cell>
        </row>
        <row r="16">
          <cell r="C16">
            <v>10549.40858979654</v>
          </cell>
        </row>
        <row r="17">
          <cell r="C17">
            <v>35331.19019485938</v>
          </cell>
        </row>
        <row r="18">
          <cell r="C18">
            <v>12332.440807536885</v>
          </cell>
        </row>
        <row r="19">
          <cell r="C19">
            <v>49460.694603918077</v>
          </cell>
        </row>
        <row r="20">
          <cell r="C20">
            <v>38799.041966364734</v>
          </cell>
        </row>
        <row r="21">
          <cell r="C21">
            <v>-144.52905075367516</v>
          </cell>
        </row>
        <row r="23">
          <cell r="C23">
            <v>270.28476258608026</v>
          </cell>
        </row>
        <row r="24">
          <cell r="C24">
            <v>0</v>
          </cell>
        </row>
        <row r="25">
          <cell r="C25">
            <v>-595.87567739999997</v>
          </cell>
        </row>
        <row r="26">
          <cell r="C26">
            <v>0</v>
          </cell>
        </row>
        <row r="29">
          <cell r="C29">
            <v>30657.061085340516</v>
          </cell>
        </row>
        <row r="30">
          <cell r="C30">
            <v>-5299.8810896575787</v>
          </cell>
        </row>
        <row r="31">
          <cell r="C31">
            <v>-60164.03340592223</v>
          </cell>
        </row>
        <row r="32">
          <cell r="C32">
            <v>-16205.384575024746</v>
          </cell>
        </row>
        <row r="33">
          <cell r="C33">
            <v>-2345.657986384881</v>
          </cell>
        </row>
        <row r="34">
          <cell r="C34">
            <v>-1402.5389586331876</v>
          </cell>
        </row>
        <row r="38">
          <cell r="C38">
            <v>-11452.896743858824</v>
          </cell>
        </row>
        <row r="39">
          <cell r="C39">
            <v>-34610.172750899212</v>
          </cell>
        </row>
        <row r="43">
          <cell r="C43">
            <v>-79276.422487130578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7">
          <cell r="C47">
            <v>5470.5907787775395</v>
          </cell>
        </row>
        <row r="49">
          <cell r="C49">
            <v>3605.4735476900282</v>
          </cell>
        </row>
        <row r="50">
          <cell r="C50">
            <v>2.2137031022793963E-2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-11381.770085596265</v>
          </cell>
        </row>
        <row r="54">
          <cell r="C54">
            <v>6.6523076005044288</v>
          </cell>
        </row>
        <row r="55">
          <cell r="C55">
            <v>-1664.5355081732805</v>
          </cell>
        </row>
        <row r="56">
          <cell r="C56">
            <v>1671.7770978293368</v>
          </cell>
        </row>
        <row r="62">
          <cell r="C62">
            <v>-95956.784482042844</v>
          </cell>
        </row>
        <row r="63">
          <cell r="C63">
            <v>33866.35324679668</v>
          </cell>
        </row>
        <row r="64">
          <cell r="C64">
            <v>-195455.60750083561</v>
          </cell>
        </row>
        <row r="65">
          <cell r="C65">
            <v>-10000</v>
          </cell>
        </row>
        <row r="66">
          <cell r="C66">
            <v>-168454.79637325657</v>
          </cell>
        </row>
        <row r="67">
          <cell r="C67">
            <v>-400.06737370971086</v>
          </cell>
        </row>
        <row r="69">
          <cell r="C69">
            <v>0</v>
          </cell>
        </row>
        <row r="70">
          <cell r="C70">
            <v>0</v>
          </cell>
        </row>
        <row r="75">
          <cell r="C75">
            <v>-6257.8514539703419</v>
          </cell>
        </row>
        <row r="76">
          <cell r="C76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2 Vs 21"/>
      <sheetName val="Summary Per Product-22 Vs 21Org"/>
      <sheetName val="Sum Per Produc-22 Vs 21 Express"/>
      <sheetName val="Sum Per Produc-22 Vs 21 Exp Org"/>
      <sheetName val="Sum Per Product Act Vs bud22"/>
      <sheetName val="Sum Per Product Act Vs bud org"/>
      <sheetName val="Summary Per Product (Courrier)"/>
      <sheetName val="Summary Per Product-2022"/>
      <sheetName val="Summary Per Product-2021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1019868.1390494624</v>
          </cell>
          <cell r="H5">
            <v>458633.00239735813</v>
          </cell>
          <cell r="M5">
            <v>122476.53012640019</v>
          </cell>
        </row>
        <row r="9">
          <cell r="C9">
            <v>724813.47140562558</v>
          </cell>
          <cell r="H9">
            <v>395273.90009422728</v>
          </cell>
          <cell r="M9">
            <v>103681.56048846676</v>
          </cell>
        </row>
        <row r="15">
          <cell r="C15">
            <v>257344.80687866514</v>
          </cell>
          <cell r="H15">
            <v>42235.991613607628</v>
          </cell>
          <cell r="M15">
            <v>16092.512094511841</v>
          </cell>
        </row>
        <row r="21">
          <cell r="C21">
            <v>38798.969016576819</v>
          </cell>
          <cell r="H21">
            <v>19566.887922749687</v>
          </cell>
          <cell r="M21">
            <v>2490.6652181017025</v>
          </cell>
        </row>
        <row r="31">
          <cell r="C31">
            <v>106857.34511082739</v>
          </cell>
          <cell r="H31">
            <v>27532.053785045009</v>
          </cell>
          <cell r="M31">
            <v>26467.022721391466</v>
          </cell>
        </row>
      </sheetData>
      <sheetData sheetId="1"/>
      <sheetData sheetId="2">
        <row r="5">
          <cell r="C5">
            <v>507156.22997626459</v>
          </cell>
          <cell r="H5">
            <v>105185.18129489597</v>
          </cell>
          <cell r="M5">
            <v>407526.72777830198</v>
          </cell>
        </row>
        <row r="9">
          <cell r="C9">
            <v>378571.04044894507</v>
          </cell>
          <cell r="H9">
            <v>39540.5146549649</v>
          </cell>
          <cell r="M9">
            <v>306701.91308171564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3 Vs 22"/>
      <sheetName val="Summary Per Product-23 Vs 22Org"/>
      <sheetName val="Sum Per Produc-23 Vs 22 Express"/>
      <sheetName val="Sum Per Produc-23 Vs 22 Exp Org"/>
      <sheetName val="Sum Per Product Act Vs bud23"/>
      <sheetName val="Sum Per Product Act Vs bud org"/>
      <sheetName val="Sum Per Pro-23 Vs Bud Express"/>
      <sheetName val="Sum Vs Bud org Express"/>
      <sheetName val="Summary Per Product-2023"/>
      <sheetName val="Summary Per Product (Courier)"/>
      <sheetName val="Summary Per Product-2022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>
        <row r="5">
          <cell r="C5">
            <v>277069.17126522231</v>
          </cell>
        </row>
        <row r="9">
          <cell r="C9">
            <v>194281.58529348005</v>
          </cell>
        </row>
        <row r="15">
          <cell r="C15">
            <v>63571.760090458964</v>
          </cell>
        </row>
        <row r="18">
          <cell r="C18">
            <v>19985.173051549893</v>
          </cell>
        </row>
        <row r="22">
          <cell r="C22">
            <v>36382.353702548869</v>
          </cell>
        </row>
      </sheetData>
      <sheetData sheetId="1" refreshError="1"/>
      <sheetData sheetId="2">
        <row r="5">
          <cell r="C5">
            <v>138651.50819691134</v>
          </cell>
          <cell r="H5">
            <v>39924.618888135956</v>
          </cell>
          <cell r="M5">
            <v>98493.04418017494</v>
          </cell>
          <cell r="R5">
            <v>104535.36682249529</v>
          </cell>
          <cell r="W5">
            <v>30183.962709052266</v>
          </cell>
          <cell r="AB5">
            <v>3178.8125247921926</v>
          </cell>
        </row>
        <row r="9">
          <cell r="C9">
            <v>96663.7530617468</v>
          </cell>
          <cell r="H9">
            <v>20481.433472283075</v>
          </cell>
          <cell r="M9">
            <v>77136.398759450152</v>
          </cell>
          <cell r="R9">
            <v>90030.02568641174</v>
          </cell>
          <cell r="W9">
            <v>24430.264711285574</v>
          </cell>
        </row>
        <row r="11">
          <cell r="AB11">
            <v>2798.6286211997731</v>
          </cell>
        </row>
        <row r="15">
          <cell r="R15">
            <v>11675.869382600202</v>
          </cell>
          <cell r="W15">
            <v>3937.5354285816156</v>
          </cell>
        </row>
        <row r="18">
          <cell r="R18">
            <v>2876.387189923521</v>
          </cell>
          <cell r="W18">
            <v>4637.8462319701903</v>
          </cell>
          <cell r="AB18">
            <v>1415.1020145123523</v>
          </cell>
        </row>
        <row r="22">
          <cell r="R22">
            <v>4988.3234680195583</v>
          </cell>
          <cell r="W22">
            <v>10896.855818032403</v>
          </cell>
          <cell r="AB22">
            <v>1484.3428779858789</v>
          </cell>
        </row>
      </sheetData>
      <sheetData sheetId="3">
        <row r="5">
          <cell r="C5">
            <v>138651.50819691134</v>
          </cell>
        </row>
      </sheetData>
      <sheetData sheetId="4" refreshError="1"/>
      <sheetData sheetId="5" refreshError="1"/>
      <sheetData sheetId="6">
        <row r="5">
          <cell r="C5">
            <v>138651.50819691134</v>
          </cell>
        </row>
      </sheetData>
      <sheetData sheetId="7">
        <row r="5">
          <cell r="D5">
            <v>155011.58627299755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  <sheetName val="Summary Per Product-23 Vs 22"/>
    </sheetNames>
    <sheetDataSet>
      <sheetData sheetId="0"/>
      <sheetData sheetId="1">
        <row r="4">
          <cell r="C4"/>
        </row>
        <row r="5">
          <cell r="C5">
            <v>279368.72731729213</v>
          </cell>
        </row>
        <row r="9">
          <cell r="C9">
            <v>193885.16547505738</v>
          </cell>
        </row>
        <row r="15">
          <cell r="C15">
            <v>65171.634319815756</v>
          </cell>
        </row>
        <row r="18">
          <cell r="C18">
            <v>21439.245537601393</v>
          </cell>
        </row>
        <row r="22">
          <cell r="C22">
            <v>37282.421737888712</v>
          </cell>
        </row>
      </sheetData>
      <sheetData sheetId="2"/>
      <sheetData sheetId="3">
        <row r="5">
          <cell r="C5">
            <v>138822.73824900764</v>
          </cell>
          <cell r="H5">
            <v>37021.40207346838</v>
          </cell>
          <cell r="M5">
            <v>103524.58699481611</v>
          </cell>
          <cell r="R5">
            <v>108517.03238421441</v>
          </cell>
          <cell r="W5">
            <v>29026.662530374124</v>
          </cell>
          <cell r="AB5">
            <v>2599.8191962574256</v>
          </cell>
        </row>
        <row r="9">
          <cell r="C9">
            <v>97855.094204700552</v>
          </cell>
          <cell r="H9">
            <v>18319.566467230543</v>
          </cell>
          <cell r="M9">
            <v>77710.502793126259</v>
          </cell>
          <cell r="R9">
            <v>93122.703572976287</v>
          </cell>
          <cell r="W9">
            <v>24580.089796379045</v>
          </cell>
        </row>
        <row r="11">
          <cell r="AB11">
            <v>2337.8547583233913</v>
          </cell>
        </row>
        <row r="15">
          <cell r="R15">
            <v>11969.689603306744</v>
          </cell>
          <cell r="W15">
            <v>4171.8900745268202</v>
          </cell>
        </row>
        <row r="18">
          <cell r="R18">
            <v>3401.8405437409883</v>
          </cell>
          <cell r="W18">
            <v>-354.27545927675601</v>
          </cell>
          <cell r="AB18">
            <v>674.33778656624168</v>
          </cell>
        </row>
        <row r="22">
          <cell r="R22">
            <v>5365.0303975135512</v>
          </cell>
          <cell r="W22">
            <v>5891.2030876335984</v>
          </cell>
          <cell r="AB22">
            <v>792.61253972622285</v>
          </cell>
        </row>
      </sheetData>
      <sheetData sheetId="4"/>
      <sheetData sheetId="5"/>
      <sheetData sheetId="6"/>
      <sheetData sheetId="7">
        <row r="5">
          <cell r="D5">
            <v>112980.77020850949</v>
          </cell>
        </row>
      </sheetData>
      <sheetData sheetId="8"/>
      <sheetData sheetId="9"/>
      <sheetData sheetId="10"/>
      <sheetData sheetId="11"/>
      <sheetData sheetId="12">
        <row r="29">
          <cell r="C29">
            <v>899479.67877033388</v>
          </cell>
        </row>
      </sheetData>
      <sheetData sheetId="13"/>
      <sheetData sheetId="14"/>
      <sheetData sheetId="15">
        <row r="42">
          <cell r="C42">
            <v>2528241.3181367712</v>
          </cell>
        </row>
      </sheetData>
      <sheetData sheetId="16">
        <row r="42">
          <cell r="D42">
            <v>2350334.3099999996</v>
          </cell>
        </row>
      </sheetData>
      <sheetData sheetId="17">
        <row r="42">
          <cell r="D42">
            <v>14726236.610000014</v>
          </cell>
        </row>
      </sheetData>
      <sheetData sheetId="18">
        <row r="42">
          <cell r="D42">
            <v>-24509.964208247868</v>
          </cell>
        </row>
      </sheetData>
      <sheetData sheetId="19">
        <row r="42">
          <cell r="D42">
            <v>15926.769999999999</v>
          </cell>
        </row>
      </sheetData>
      <sheetData sheetId="20">
        <row r="42">
          <cell r="D42">
            <v>-3.9400000000000013</v>
          </cell>
        </row>
      </sheetData>
      <sheetData sheetId="21">
        <row r="42">
          <cell r="D42">
            <v>6462743.4488151968</v>
          </cell>
        </row>
      </sheetData>
      <sheetData sheetId="22">
        <row r="42">
          <cell r="D42">
            <v>98819.019999999902</v>
          </cell>
        </row>
      </sheetData>
      <sheetData sheetId="23"/>
      <sheetData sheetId="24">
        <row r="4">
          <cell r="C4">
            <v>2175169.79</v>
          </cell>
        </row>
      </sheetData>
      <sheetData sheetId="25">
        <row r="4">
          <cell r="C4">
            <v>0</v>
          </cell>
        </row>
      </sheetData>
      <sheetData sheetId="26">
        <row r="4">
          <cell r="C4">
            <v>0</v>
          </cell>
        </row>
      </sheetData>
      <sheetData sheetId="27">
        <row r="4">
          <cell r="C4">
            <v>0</v>
          </cell>
        </row>
      </sheetData>
      <sheetData sheetId="28">
        <row r="4">
          <cell r="C4">
            <v>92393.83</v>
          </cell>
        </row>
      </sheetData>
      <sheetData sheetId="29">
        <row r="4">
          <cell r="C4">
            <v>31340.32</v>
          </cell>
        </row>
      </sheetData>
      <sheetData sheetId="30">
        <row r="4">
          <cell r="C4">
            <v>1138523.74</v>
          </cell>
        </row>
      </sheetData>
      <sheetData sheetId="31">
        <row r="4">
          <cell r="C4">
            <v>209617.83000000002</v>
          </cell>
        </row>
      </sheetData>
      <sheetData sheetId="32">
        <row r="4">
          <cell r="C4">
            <v>119165.14</v>
          </cell>
        </row>
      </sheetData>
      <sheetData sheetId="33">
        <row r="4">
          <cell r="C4">
            <v>32383.620000000003</v>
          </cell>
        </row>
      </sheetData>
      <sheetData sheetId="34">
        <row r="4">
          <cell r="C4">
            <v>3506408.1</v>
          </cell>
        </row>
      </sheetData>
      <sheetData sheetId="35">
        <row r="4">
          <cell r="C4">
            <v>34425.89</v>
          </cell>
        </row>
      </sheetData>
      <sheetData sheetId="36">
        <row r="4">
          <cell r="C4">
            <v>154613.4</v>
          </cell>
        </row>
      </sheetData>
      <sheetData sheetId="37">
        <row r="4">
          <cell r="C4">
            <v>211530.93000000002</v>
          </cell>
        </row>
      </sheetData>
      <sheetData sheetId="38">
        <row r="4">
          <cell r="C4">
            <v>468109.56999999995</v>
          </cell>
        </row>
      </sheetData>
      <sheetData sheetId="39"/>
      <sheetData sheetId="40">
        <row r="4">
          <cell r="C4">
            <v>927977.14999999991</v>
          </cell>
        </row>
      </sheetData>
      <sheetData sheetId="41">
        <row r="4">
          <cell r="C4">
            <v>0</v>
          </cell>
        </row>
      </sheetData>
      <sheetData sheetId="42">
        <row r="4">
          <cell r="C4">
            <v>125689.85</v>
          </cell>
        </row>
      </sheetData>
      <sheetData sheetId="43"/>
      <sheetData sheetId="44">
        <row r="4">
          <cell r="C4">
            <v>1176.83</v>
          </cell>
        </row>
      </sheetData>
      <sheetData sheetId="45">
        <row r="4">
          <cell r="C4">
            <v>17543.11</v>
          </cell>
        </row>
      </sheetData>
      <sheetData sheetId="46">
        <row r="4">
          <cell r="C4">
            <v>0</v>
          </cell>
        </row>
      </sheetData>
      <sheetData sheetId="47">
        <row r="4">
          <cell r="C4">
            <v>127678.76</v>
          </cell>
        </row>
      </sheetData>
      <sheetData sheetId="48">
        <row r="4">
          <cell r="C4">
            <v>81981.52</v>
          </cell>
        </row>
      </sheetData>
      <sheetData sheetId="49">
        <row r="4">
          <cell r="C4">
            <v>1598488.54</v>
          </cell>
        </row>
      </sheetData>
      <sheetData sheetId="50">
        <row r="4">
          <cell r="C4">
            <v>0</v>
          </cell>
        </row>
      </sheetData>
      <sheetData sheetId="51">
        <row r="4">
          <cell r="C4">
            <v>0</v>
          </cell>
        </row>
      </sheetData>
      <sheetData sheetId="52">
        <row r="4">
          <cell r="C4">
            <v>271760.43</v>
          </cell>
        </row>
      </sheetData>
      <sheetData sheetId="53">
        <row r="4">
          <cell r="C4">
            <v>8218067.6800000006</v>
          </cell>
        </row>
      </sheetData>
      <sheetData sheetId="54">
        <row r="4">
          <cell r="C4">
            <v>29838258.710000001</v>
          </cell>
        </row>
      </sheetData>
      <sheetData sheetId="55">
        <row r="4">
          <cell r="C4">
            <v>13979521.4</v>
          </cell>
        </row>
      </sheetData>
      <sheetData sheetId="56">
        <row r="4">
          <cell r="C4">
            <v>11904467.24</v>
          </cell>
        </row>
      </sheetData>
      <sheetData sheetId="57">
        <row r="4">
          <cell r="C4">
            <v>3954270.0700000003</v>
          </cell>
        </row>
      </sheetData>
      <sheetData sheetId="58">
        <row r="4">
          <cell r="C4">
            <v>0</v>
          </cell>
        </row>
      </sheetData>
      <sheetData sheetId="59">
        <row r="4">
          <cell r="C4">
            <v>0</v>
          </cell>
        </row>
      </sheetData>
      <sheetData sheetId="60"/>
      <sheetData sheetId="61">
        <row r="4">
          <cell r="C4">
            <v>7598507.7199999997</v>
          </cell>
        </row>
      </sheetData>
      <sheetData sheetId="62">
        <row r="4">
          <cell r="C4">
            <v>4391122.66</v>
          </cell>
        </row>
      </sheetData>
      <sheetData sheetId="63">
        <row r="4">
          <cell r="C4">
            <v>308658.02</v>
          </cell>
        </row>
      </sheetData>
      <sheetData sheetId="64"/>
      <sheetData sheetId="65">
        <row r="4">
          <cell r="C4">
            <v>603201.31000000006</v>
          </cell>
        </row>
      </sheetData>
      <sheetData sheetId="66"/>
      <sheetData sheetId="67">
        <row r="4">
          <cell r="C4">
            <v>431510.61000000004</v>
          </cell>
        </row>
      </sheetData>
      <sheetData sheetId="68">
        <row r="4">
          <cell r="C4">
            <v>0</v>
          </cell>
        </row>
      </sheetData>
      <sheetData sheetId="69">
        <row r="4">
          <cell r="C4">
            <v>0</v>
          </cell>
        </row>
      </sheetData>
      <sheetData sheetId="70">
        <row r="4">
          <cell r="C4">
            <v>0</v>
          </cell>
        </row>
      </sheetData>
      <sheetData sheetId="71"/>
      <sheetData sheetId="72">
        <row r="4">
          <cell r="C4">
            <v>79718.37999999999</v>
          </cell>
        </row>
      </sheetData>
      <sheetData sheetId="73">
        <row r="4">
          <cell r="C4">
            <v>671.30000000000007</v>
          </cell>
        </row>
      </sheetData>
      <sheetData sheetId="74">
        <row r="4">
          <cell r="C4">
            <v>0</v>
          </cell>
        </row>
      </sheetData>
      <sheetData sheetId="75"/>
      <sheetData sheetId="76"/>
      <sheetData sheetId="77">
        <row r="4">
          <cell r="C4">
            <v>1193.335216176265</v>
          </cell>
        </row>
      </sheetData>
      <sheetData sheetId="78"/>
      <sheetData sheetId="79">
        <row r="4">
          <cell r="C4">
            <v>13482</v>
          </cell>
        </row>
      </sheetData>
      <sheetData sheetId="80">
        <row r="4">
          <cell r="C4">
            <v>0</v>
          </cell>
        </row>
      </sheetData>
      <sheetData sheetId="81">
        <row r="4">
          <cell r="C4">
            <v>0</v>
          </cell>
        </row>
      </sheetData>
      <sheetData sheetId="82">
        <row r="4">
          <cell r="C4">
            <v>16409.39</v>
          </cell>
        </row>
      </sheetData>
      <sheetData sheetId="83">
        <row r="4">
          <cell r="C4">
            <v>0</v>
          </cell>
        </row>
      </sheetData>
      <sheetData sheetId="84">
        <row r="4">
          <cell r="C4">
            <v>0</v>
          </cell>
        </row>
      </sheetData>
      <sheetData sheetId="85">
        <row r="4">
          <cell r="C4">
            <v>25971.35</v>
          </cell>
        </row>
      </sheetData>
      <sheetData sheetId="86">
        <row r="4">
          <cell r="C4">
            <v>0</v>
          </cell>
        </row>
      </sheetData>
      <sheetData sheetId="87">
        <row r="4">
          <cell r="C4">
            <v>6.41</v>
          </cell>
        </row>
      </sheetData>
      <sheetData sheetId="88">
        <row r="4">
          <cell r="C4">
            <v>45829.22</v>
          </cell>
        </row>
      </sheetData>
      <sheetData sheetId="89">
        <row r="4">
          <cell r="C4">
            <v>489121.95999999996</v>
          </cell>
        </row>
      </sheetData>
      <sheetData sheetId="90">
        <row r="4">
          <cell r="C4">
            <v>243510.11</v>
          </cell>
        </row>
      </sheetData>
      <sheetData sheetId="91">
        <row r="4">
          <cell r="C4">
            <v>14836588.306633146</v>
          </cell>
        </row>
      </sheetData>
      <sheetData sheetId="92">
        <row r="4">
          <cell r="C4">
            <v>25857162.992952488</v>
          </cell>
        </row>
      </sheetData>
      <sheetData sheetId="93">
        <row r="4">
          <cell r="C4">
            <v>0</v>
          </cell>
        </row>
      </sheetData>
      <sheetData sheetId="94">
        <row r="4">
          <cell r="C4">
            <v>0</v>
          </cell>
        </row>
      </sheetData>
      <sheetData sheetId="95">
        <row r="4">
          <cell r="C4">
            <v>0</v>
          </cell>
        </row>
      </sheetData>
      <sheetData sheetId="96">
        <row r="4">
          <cell r="C4">
            <v>0</v>
          </cell>
        </row>
      </sheetData>
      <sheetData sheetId="97">
        <row r="4">
          <cell r="C4">
            <v>0</v>
          </cell>
        </row>
      </sheetData>
      <sheetData sheetId="98">
        <row r="4">
          <cell r="C4">
            <v>0</v>
          </cell>
        </row>
      </sheetData>
      <sheetData sheetId="99">
        <row r="4">
          <cell r="C4">
            <v>0</v>
          </cell>
        </row>
      </sheetData>
      <sheetData sheetId="100">
        <row r="4">
          <cell r="C4">
            <v>0</v>
          </cell>
        </row>
      </sheetData>
      <sheetData sheetId="101">
        <row r="4">
          <cell r="C4">
            <v>0</v>
          </cell>
        </row>
      </sheetData>
      <sheetData sheetId="102">
        <row r="4">
          <cell r="C4">
            <v>0</v>
          </cell>
        </row>
      </sheetData>
      <sheetData sheetId="103">
        <row r="4">
          <cell r="C4">
            <v>0</v>
          </cell>
        </row>
      </sheetData>
      <sheetData sheetId="104">
        <row r="4">
          <cell r="C4">
            <v>0</v>
          </cell>
        </row>
      </sheetData>
      <sheetData sheetId="105">
        <row r="4">
          <cell r="C4">
            <v>95171</v>
          </cell>
        </row>
      </sheetData>
      <sheetData sheetId="106">
        <row r="4">
          <cell r="C4">
            <v>-895553.81998570682</v>
          </cell>
        </row>
      </sheetData>
      <sheetData sheetId="107"/>
      <sheetData sheetId="10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 refreshError="1">
        <row r="5">
          <cell r="C5">
            <v>262858.41802154307</v>
          </cell>
        </row>
        <row r="9">
          <cell r="C9">
            <v>189466.36136942264</v>
          </cell>
        </row>
        <row r="15">
          <cell r="C15">
            <v>65980.393385814474</v>
          </cell>
        </row>
        <row r="18">
          <cell r="C18">
            <v>8328.9491392935906</v>
          </cell>
        </row>
        <row r="22">
          <cell r="C22">
            <v>24134.029439881477</v>
          </cell>
        </row>
      </sheetData>
      <sheetData sheetId="2" refreshError="1"/>
      <sheetData sheetId="3">
        <row r="5">
          <cell r="C5">
            <v>125114.38972115908</v>
          </cell>
          <cell r="H5">
            <v>35344.047997402013</v>
          </cell>
          <cell r="M5">
            <v>102399.98030298199</v>
          </cell>
          <cell r="R5">
            <v>111982.32309227099</v>
          </cell>
          <cell r="W5">
            <v>29317.370305348588</v>
          </cell>
          <cell r="AB5">
            <v>3252.0930234870325</v>
          </cell>
        </row>
        <row r="9">
          <cell r="C9">
            <v>91224.868169146997</v>
          </cell>
          <cell r="H9">
            <v>18015.293110913459</v>
          </cell>
          <cell r="M9">
            <v>80226.200089362188</v>
          </cell>
          <cell r="R9">
            <v>97845.254160187047</v>
          </cell>
          <cell r="W9">
            <v>25952.982977230102</v>
          </cell>
        </row>
        <row r="11">
          <cell r="AB11">
            <v>3081.1344402282075</v>
          </cell>
        </row>
        <row r="15">
          <cell r="R15">
            <v>11391.000303047154</v>
          </cell>
          <cell r="W15">
            <v>3816.6351064377236</v>
          </cell>
        </row>
        <row r="18">
          <cell r="R18">
            <v>3170.8589514411656</v>
          </cell>
          <cell r="W18">
            <v>-405.10530498022371</v>
          </cell>
          <cell r="AB18">
            <v>1692.3518319230943</v>
          </cell>
        </row>
        <row r="22">
          <cell r="R22">
            <v>4993.0574516614952</v>
          </cell>
          <cell r="W22">
            <v>5845.7663060461427</v>
          </cell>
          <cell r="AB22">
            <v>1766.7575694052034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116504.4293691105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2">
          <cell r="D42">
            <v>6123548.0322039798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 refreshError="1">
        <row r="5">
          <cell r="C5">
            <v>275268.84920073079</v>
          </cell>
        </row>
        <row r="9">
          <cell r="C9">
            <v>197042.61617562245</v>
          </cell>
        </row>
        <row r="15">
          <cell r="C15">
            <v>67248.550559012321</v>
          </cell>
        </row>
        <row r="18">
          <cell r="C18">
            <v>11754.558475360833</v>
          </cell>
        </row>
        <row r="22">
          <cell r="C22">
            <v>27667.240593222879</v>
          </cell>
        </row>
      </sheetData>
      <sheetData sheetId="2" refreshError="1"/>
      <sheetData sheetId="3">
        <row r="5">
          <cell r="C5">
            <v>117520.82452800778</v>
          </cell>
          <cell r="H5">
            <v>35591.16065014623</v>
          </cell>
          <cell r="M5">
            <v>122156.86402257682</v>
          </cell>
          <cell r="R5">
            <v>122443.46142186403</v>
          </cell>
          <cell r="W5">
            <v>32215.177686603718</v>
          </cell>
          <cell r="AB5">
            <v>3649.8403297316117</v>
          </cell>
        </row>
        <row r="9">
          <cell r="C9">
            <v>87033.563871864433</v>
          </cell>
          <cell r="H9">
            <v>17420.668837631336</v>
          </cell>
          <cell r="M9">
            <v>92588.383466126659</v>
          </cell>
          <cell r="R9">
            <v>107886.87717193968</v>
          </cell>
          <cell r="W9">
            <v>26589.202186518291</v>
          </cell>
        </row>
        <row r="11">
          <cell r="AB11">
            <v>3171.0052524048524</v>
          </cell>
        </row>
        <row r="15">
          <cell r="R15">
            <v>11588.813881272286</v>
          </cell>
          <cell r="W15">
            <v>4009.5717229536535</v>
          </cell>
        </row>
        <row r="18">
          <cell r="R18">
            <v>3406.1560786689602</v>
          </cell>
          <cell r="W18">
            <v>1789.4492625596881</v>
          </cell>
          <cell r="AB18">
            <v>1598.4435019155608</v>
          </cell>
        </row>
        <row r="22">
          <cell r="R22">
            <v>5395.5015146091027</v>
          </cell>
          <cell r="W22">
            <v>7949.1678116571602</v>
          </cell>
          <cell r="AB22">
            <v>1674.4474651985201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120720.33949808433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2">
          <cell r="D42">
            <v>9417709.7146966085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Sep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/>
      <sheetData sheetId="1"/>
      <sheetData sheetId="2"/>
      <sheetData sheetId="3"/>
      <sheetData sheetId="4">
        <row r="73">
          <cell r="E73">
            <v>9.8451384137138387E-2</v>
          </cell>
        </row>
      </sheetData>
      <sheetData sheetId="5">
        <row r="91">
          <cell r="D91">
            <v>20915877</v>
          </cell>
        </row>
        <row r="96">
          <cell r="D96">
            <v>80225032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CC"/>
      <sheetName val="MENAT"/>
      <sheetName val="Sub Sahara Africa"/>
      <sheetName val="Europe"/>
      <sheetName val="America"/>
      <sheetName val="America Organic"/>
      <sheetName val="North Asia"/>
      <sheetName val="Oceania"/>
      <sheetName val="South Asia"/>
      <sheetName val="Global"/>
      <sheetName val="Sep'24 Vs Sep'23 &amp; Bud"/>
      <sheetName val="Q4'23 Vs Q4'22 &amp; Bud"/>
      <sheetName val="Q4'22 Vs Q4'22"/>
      <sheetName val="YTD'24 Vs YTD'23 &amp; Bud"/>
      <sheetName val="Q3'24 Vs Q3'23 &amp; Bud"/>
      <sheetName val="RF 202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>
            <v>96149.74146170482</v>
          </cell>
          <cell r="D8">
            <v>36050.358249257552</v>
          </cell>
          <cell r="G8">
            <v>131533.86984467195</v>
          </cell>
          <cell r="H8">
            <v>113177.93858646105</v>
          </cell>
          <cell r="K8">
            <v>13399.904789554663</v>
          </cell>
          <cell r="L8">
            <v>14509.987532664416</v>
          </cell>
          <cell r="O8">
            <v>58221.274057374387</v>
          </cell>
          <cell r="P8">
            <v>76148.130116326283</v>
          </cell>
          <cell r="S8">
            <v>96735.488872138842</v>
          </cell>
          <cell r="T8">
            <v>110526.5675752395</v>
          </cell>
          <cell r="W8">
            <v>24366.07065131854</v>
          </cell>
          <cell r="X8">
            <v>27561.132734615341</v>
          </cell>
          <cell r="AA8">
            <v>3838.407560567488</v>
          </cell>
          <cell r="AB8">
            <v>1642.5440348648244</v>
          </cell>
          <cell r="AE8">
            <v>62151.498362760489</v>
          </cell>
          <cell r="AF8">
            <v>61099.565049149111</v>
          </cell>
          <cell r="AI8">
            <v>3018.3068599999992</v>
          </cell>
          <cell r="AJ8">
            <v>5717.6537040604326</v>
          </cell>
        </row>
        <row r="9">
          <cell r="C9">
            <v>30351.440123173914</v>
          </cell>
          <cell r="D9">
            <v>34176.888143868397</v>
          </cell>
          <cell r="G9">
            <v>126725.31631801484</v>
          </cell>
          <cell r="H9">
            <v>121102.89233649129</v>
          </cell>
          <cell r="K9">
            <v>28935.919041163179</v>
          </cell>
          <cell r="L9">
            <v>28396.912013138241</v>
          </cell>
          <cell r="O9">
            <v>248.5572310479198</v>
          </cell>
          <cell r="P9">
            <v>6632.1539312441537</v>
          </cell>
          <cell r="S9">
            <v>99.547647525606706</v>
          </cell>
          <cell r="T9">
            <v>41.178521709956001</v>
          </cell>
          <cell r="W9">
            <v>0.21025641012102544</v>
          </cell>
          <cell r="X9">
            <v>2.3694615384615347</v>
          </cell>
          <cell r="AA9">
            <v>139046.29192743864</v>
          </cell>
          <cell r="AB9">
            <v>97001.638145813893</v>
          </cell>
          <cell r="AE9">
            <v>2431.5937580589598</v>
          </cell>
          <cell r="AF9">
            <v>2623.9282698501875</v>
          </cell>
          <cell r="AI9">
            <v>242.55500000000001</v>
          </cell>
          <cell r="AJ9">
            <v>180.00200000000001</v>
          </cell>
        </row>
        <row r="10">
          <cell r="C10">
            <v>57322.309515608162</v>
          </cell>
          <cell r="D10">
            <v>47785.271982665254</v>
          </cell>
          <cell r="G10">
            <v>186947.58437372858</v>
          </cell>
          <cell r="H10">
            <v>161483.87110855262</v>
          </cell>
          <cell r="K10">
            <v>10927.34392559241</v>
          </cell>
          <cell r="L10">
            <v>14513.425536569059</v>
          </cell>
          <cell r="O10">
            <v>62010.246418640949</v>
          </cell>
          <cell r="P10">
            <v>55205.10595619255</v>
          </cell>
          <cell r="S10">
            <v>5017.4976460953612</v>
          </cell>
          <cell r="T10">
            <v>6082.0448181190686</v>
          </cell>
          <cell r="W10">
            <v>2955.4749030671314</v>
          </cell>
          <cell r="X10">
            <v>2045.0857474358941</v>
          </cell>
          <cell r="AA10">
            <v>1338.525284248338</v>
          </cell>
          <cell r="AB10">
            <v>2131.7544680541178</v>
          </cell>
          <cell r="AE10">
            <v>16423.834932723086</v>
          </cell>
          <cell r="AF10">
            <v>13523.414894303907</v>
          </cell>
          <cell r="AI10">
            <v>0</v>
          </cell>
          <cell r="AJ10">
            <v>0</v>
          </cell>
        </row>
        <row r="11">
          <cell r="C11">
            <v>17070.614558270543</v>
          </cell>
          <cell r="D11">
            <v>17862.129519880466</v>
          </cell>
          <cell r="G11">
            <v>50289.676117952193</v>
          </cell>
          <cell r="H11">
            <v>49827.509675065186</v>
          </cell>
          <cell r="K11">
            <v>2033.3735372948445</v>
          </cell>
          <cell r="L11">
            <v>2310.5642073304093</v>
          </cell>
          <cell r="O11">
            <v>9902.9356533278733</v>
          </cell>
          <cell r="P11">
            <v>9913.7376330349416</v>
          </cell>
          <cell r="S11">
            <v>5975.4629599999998</v>
          </cell>
          <cell r="T11">
            <v>2214.7229499999999</v>
          </cell>
          <cell r="W11">
            <v>323.64290380745058</v>
          </cell>
          <cell r="X11">
            <v>584.26181025640926</v>
          </cell>
          <cell r="AA11">
            <v>321.35853877314497</v>
          </cell>
          <cell r="AB11">
            <v>127.69744235375198</v>
          </cell>
          <cell r="AE11">
            <v>4642.1461828178672</v>
          </cell>
          <cell r="AF11">
            <v>3766.5322582492017</v>
          </cell>
          <cell r="AI11">
            <v>0</v>
          </cell>
          <cell r="AJ11">
            <v>0</v>
          </cell>
        </row>
        <row r="12">
          <cell r="C12">
            <v>3433.1826010472928</v>
          </cell>
          <cell r="D12">
            <v>3214.0547896360317</v>
          </cell>
          <cell r="G12">
            <v>1425.7891972075622</v>
          </cell>
          <cell r="H12">
            <v>1308.3616395039703</v>
          </cell>
          <cell r="K12">
            <v>2889.601655263225</v>
          </cell>
          <cell r="L12">
            <v>2386.3346045533649</v>
          </cell>
          <cell r="O12">
            <v>895.99802432041133</v>
          </cell>
          <cell r="P12">
            <v>735.43484913937743</v>
          </cell>
          <cell r="S12">
            <v>177.18011999999999</v>
          </cell>
          <cell r="T12">
            <v>142.61765999999997</v>
          </cell>
          <cell r="W12">
            <v>0</v>
          </cell>
          <cell r="X12">
            <v>0</v>
          </cell>
          <cell r="AA12">
            <v>254.58432375377859</v>
          </cell>
          <cell r="AB12">
            <v>1206.9530693313002</v>
          </cell>
          <cell r="AE12">
            <v>30.792280394400365</v>
          </cell>
          <cell r="AF12">
            <v>119.70834163153678</v>
          </cell>
          <cell r="AI12">
            <v>394.62392</v>
          </cell>
          <cell r="AJ12">
            <v>356.58932999999996</v>
          </cell>
        </row>
        <row r="16">
          <cell r="C16">
            <v>52915.983512691855</v>
          </cell>
          <cell r="D16">
            <v>37938.635844725264</v>
          </cell>
          <cell r="G16">
            <v>122531.92019114044</v>
          </cell>
          <cell r="H16">
            <v>107160.3659667833</v>
          </cell>
          <cell r="K16">
            <v>20694.671159394125</v>
          </cell>
          <cell r="L16">
            <v>22082.775501492459</v>
          </cell>
          <cell r="O16">
            <v>16329.633607961534</v>
          </cell>
          <cell r="P16">
            <v>21121.933423631057</v>
          </cell>
          <cell r="S16">
            <v>26813.455777873423</v>
          </cell>
          <cell r="T16">
            <v>35821.208269422474</v>
          </cell>
          <cell r="W16">
            <v>6389.4061373772747</v>
          </cell>
          <cell r="X16">
            <v>7427.2829910256287</v>
          </cell>
          <cell r="AA16">
            <v>23927.516501110262</v>
          </cell>
          <cell r="AB16">
            <v>17580.981028874492</v>
          </cell>
          <cell r="AE16">
            <v>13451.380523624006</v>
          </cell>
          <cell r="AF16">
            <v>16561.449315684276</v>
          </cell>
          <cell r="AI16">
            <v>20162.794912372545</v>
          </cell>
          <cell r="AJ16">
            <v>16994.024373681732</v>
          </cell>
        </row>
      </sheetData>
      <sheetData sheetId="14">
        <row r="8">
          <cell r="C8">
            <v>23186.604992651912</v>
          </cell>
          <cell r="D8">
            <v>11790.946317802007</v>
          </cell>
          <cell r="G8">
            <v>44641.174812047691</v>
          </cell>
          <cell r="H8">
            <v>34928.131392729636</v>
          </cell>
          <cell r="K8">
            <v>4475.8381291094838</v>
          </cell>
          <cell r="L8">
            <v>4880.4861873229984</v>
          </cell>
          <cell r="O8">
            <v>17355.755869516557</v>
          </cell>
          <cell r="P8">
            <v>20203.206361952904</v>
          </cell>
          <cell r="S8">
            <v>32086.064937546565</v>
          </cell>
          <cell r="T8">
            <v>34783.232901176503</v>
          </cell>
          <cell r="W8">
            <v>8509.6734346153717</v>
          </cell>
          <cell r="X8">
            <v>9073.6201358974231</v>
          </cell>
          <cell r="AA8">
            <v>1462.2711097711012</v>
          </cell>
          <cell r="AB8">
            <v>531.51986214913813</v>
          </cell>
          <cell r="AE8">
            <v>20386.386851641251</v>
          </cell>
          <cell r="AF8">
            <v>20689.648412294493</v>
          </cell>
          <cell r="AI8">
            <v>1008.21433</v>
          </cell>
          <cell r="AJ8">
            <v>2516.6257074221157</v>
          </cell>
        </row>
        <row r="9">
          <cell r="C9">
            <v>10409.504829334959</v>
          </cell>
          <cell r="D9">
            <v>11446.686467397174</v>
          </cell>
          <cell r="G9">
            <v>46418.817125349742</v>
          </cell>
          <cell r="H9">
            <v>40648.979662315265</v>
          </cell>
          <cell r="K9">
            <v>10394.917089719782</v>
          </cell>
          <cell r="L9">
            <v>9356.4421885166212</v>
          </cell>
          <cell r="O9">
            <v>71.050775481182669</v>
          </cell>
          <cell r="P9">
            <v>177.97492239176165</v>
          </cell>
          <cell r="S9">
            <v>27.220841445061513</v>
          </cell>
          <cell r="T9">
            <v>13.467160087189619</v>
          </cell>
          <cell r="W9">
            <v>9.6153846153846007E-2</v>
          </cell>
          <cell r="X9">
            <v>2.8974358974358929E-2</v>
          </cell>
          <cell r="AA9">
            <v>53847.533805695937</v>
          </cell>
          <cell r="AB9">
            <v>33363.621186118064</v>
          </cell>
          <cell r="AE9">
            <v>829.69542152991482</v>
          </cell>
          <cell r="AF9">
            <v>820.21947285540455</v>
          </cell>
          <cell r="AI9">
            <v>158.02799999999999</v>
          </cell>
          <cell r="AJ9">
            <v>180.00200000000001</v>
          </cell>
        </row>
        <row r="10">
          <cell r="C10">
            <v>19516.424507542964</v>
          </cell>
          <cell r="D10">
            <v>15243.268254529934</v>
          </cell>
          <cell r="G10">
            <v>67378.973675043002</v>
          </cell>
          <cell r="H10">
            <v>54634.876804439162</v>
          </cell>
          <cell r="K10">
            <v>4749.9532093894022</v>
          </cell>
          <cell r="L10">
            <v>3491.0474537587224</v>
          </cell>
          <cell r="O10">
            <v>21790.369754471056</v>
          </cell>
          <cell r="P10">
            <v>19902.194809859335</v>
          </cell>
          <cell r="S10">
            <v>1652.8273840672146</v>
          </cell>
          <cell r="T10">
            <v>1669.157406334321</v>
          </cell>
          <cell r="W10">
            <v>1114.3475435897419</v>
          </cell>
          <cell r="X10">
            <v>779.62105769230652</v>
          </cell>
          <cell r="AA10">
            <v>509.38774844158826</v>
          </cell>
          <cell r="AB10">
            <v>839.89050597803691</v>
          </cell>
          <cell r="AE10">
            <v>5731.1776178574319</v>
          </cell>
          <cell r="AF10">
            <v>4609.0831649774418</v>
          </cell>
          <cell r="AI10">
            <v>0</v>
          </cell>
          <cell r="AJ10">
            <v>-991.83199999999999</v>
          </cell>
        </row>
        <row r="11">
          <cell r="C11">
            <v>6121.1818554586189</v>
          </cell>
          <cell r="D11">
            <v>5661.5044558000754</v>
          </cell>
          <cell r="G11">
            <v>18281.101721944895</v>
          </cell>
          <cell r="H11">
            <v>15395.18058872244</v>
          </cell>
          <cell r="K11">
            <v>687.6307719583217</v>
          </cell>
          <cell r="L11">
            <v>760.5359881447655</v>
          </cell>
          <cell r="O11">
            <v>3272.3217660832042</v>
          </cell>
          <cell r="P11">
            <v>3244.1000287880452</v>
          </cell>
          <cell r="S11">
            <v>2003.5880300000001</v>
          </cell>
          <cell r="T11">
            <v>1975.7429500000001</v>
          </cell>
          <cell r="W11">
            <v>89.215120512820377</v>
          </cell>
          <cell r="X11">
            <v>119.29291923076904</v>
          </cell>
          <cell r="AA11">
            <v>71.492055034319733</v>
          </cell>
          <cell r="AB11">
            <v>46.065915066022527</v>
          </cell>
          <cell r="AE11">
            <v>1688.6463579256242</v>
          </cell>
          <cell r="AF11">
            <v>1336.762157067576</v>
          </cell>
          <cell r="AI11">
            <v>0</v>
          </cell>
          <cell r="AJ11">
            <v>0</v>
          </cell>
        </row>
        <row r="12">
          <cell r="C12">
            <v>1312.3590254182941</v>
          </cell>
          <cell r="D12">
            <v>1332.2100128961806</v>
          </cell>
          <cell r="G12">
            <v>479.69791750731247</v>
          </cell>
          <cell r="H12">
            <v>254.09323943408</v>
          </cell>
          <cell r="K12">
            <v>1247.7478235249673</v>
          </cell>
          <cell r="L12">
            <v>935.42248953207172</v>
          </cell>
          <cell r="O12">
            <v>383.14452758889087</v>
          </cell>
          <cell r="P12">
            <v>236.62809464646236</v>
          </cell>
          <cell r="S12">
            <v>59.070169999999997</v>
          </cell>
          <cell r="T12">
            <v>49.034110000000005</v>
          </cell>
          <cell r="W12">
            <v>0</v>
          </cell>
          <cell r="X12">
            <v>0</v>
          </cell>
          <cell r="AA12">
            <v>36.210620548431436</v>
          </cell>
          <cell r="AB12">
            <v>399.53855705805637</v>
          </cell>
          <cell r="AE12">
            <v>10.184657799936048</v>
          </cell>
          <cell r="AF12">
            <v>24.363599793318251</v>
          </cell>
          <cell r="AI12">
            <v>121.4252</v>
          </cell>
          <cell r="AJ12">
            <v>146.64237</v>
          </cell>
        </row>
        <row r="16">
          <cell r="C16">
            <v>16065.467319664476</v>
          </cell>
          <cell r="D16">
            <v>11467.065773663611</v>
          </cell>
          <cell r="G16">
            <v>41013.677397017316</v>
          </cell>
          <cell r="H16">
            <v>35029.259105821744</v>
          </cell>
          <cell r="K16">
            <v>7693.8896556568861</v>
          </cell>
          <cell r="L16">
            <v>7365.0925101497505</v>
          </cell>
          <cell r="O16">
            <v>4882.557790255395</v>
          </cell>
          <cell r="P16">
            <v>6264.4592851435946</v>
          </cell>
          <cell r="S16">
            <v>8407.6868944503058</v>
          </cell>
          <cell r="T16">
            <v>10435.220131938126</v>
          </cell>
          <cell r="W16">
            <v>1983.2213589743549</v>
          </cell>
          <cell r="X16">
            <v>2518.4777512820478</v>
          </cell>
          <cell r="AA16">
            <v>10556.858154622714</v>
          </cell>
          <cell r="AB16">
            <v>5531.4836084445906</v>
          </cell>
          <cell r="AE16">
            <v>4444.9904357357527</v>
          </cell>
          <cell r="AF16">
            <v>5528.9009923501771</v>
          </cell>
          <cell r="AI16">
            <v>6531.4491918013464</v>
          </cell>
          <cell r="AJ16">
            <v>6982.5432408278184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lumes-Presentation format-Das"/>
      <sheetName val="Revenue and cost per ship-Sep"/>
      <sheetName val="Volumes vs Last month"/>
      <sheetName val="Regional Volumes "/>
      <sheetName val="GP Margin"/>
      <sheetName val="GP per Region"/>
      <sheetName val="Regional EBIT"/>
      <sheetName val="Products for Presentation "/>
      <sheetName val="Products for Presentation Org"/>
      <sheetName val="Expres+ Parcel forwarding"/>
      <sheetName val="Headcount"/>
      <sheetName val="Bonus "/>
      <sheetName val="Average revenue per day "/>
      <sheetName val="ETR"/>
      <sheetName val="Utilization June21 and June 22"/>
      <sheetName val="ETR Per Month"/>
      <sheetName val="Bridging "/>
      <sheetName val="Bridging Vs Bud"/>
      <sheetName val="Freight-Domestic Reclass"/>
      <sheetName val="Avg Revenue &amp; Cost per Qtr"/>
      <sheetName val="Shein data"/>
      <sheetName val="COD vs Prepaid"/>
      <sheetName val="Sheet2"/>
      <sheetName val="Domestic"/>
      <sheetName val="Express"/>
      <sheetName val="KSA"/>
      <sheetName val="Russel Presentation"/>
      <sheetName val="Key Origins-Express"/>
      <sheetName val="Key Domestic Markets"/>
      <sheetName val="Dash Snap shots"/>
    </sheetNames>
    <sheetDataSet>
      <sheetData sheetId="0">
        <row r="12">
          <cell r="C12">
            <v>214452</v>
          </cell>
        </row>
      </sheetData>
      <sheetData sheetId="1" refreshError="1"/>
      <sheetData sheetId="2" refreshError="1"/>
      <sheetData sheetId="3">
        <row r="6">
          <cell r="C6">
            <v>1744361</v>
          </cell>
        </row>
        <row r="21">
          <cell r="I21">
            <v>916782</v>
          </cell>
          <cell r="J21">
            <v>273203</v>
          </cell>
          <cell r="O21">
            <v>5474745</v>
          </cell>
          <cell r="P21">
            <v>638410</v>
          </cell>
        </row>
        <row r="22">
          <cell r="I22">
            <v>4989</v>
          </cell>
          <cell r="J22">
            <v>4337</v>
          </cell>
          <cell r="O22">
            <v>14565</v>
          </cell>
          <cell r="P22">
            <v>15623</v>
          </cell>
        </row>
        <row r="23">
          <cell r="I23">
            <v>792111</v>
          </cell>
          <cell r="J23">
            <v>821524</v>
          </cell>
          <cell r="O23">
            <v>2373243</v>
          </cell>
          <cell r="P23">
            <v>2319527</v>
          </cell>
        </row>
        <row r="24">
          <cell r="I24">
            <v>1613665</v>
          </cell>
          <cell r="J24">
            <v>756510</v>
          </cell>
          <cell r="O24">
            <v>4223464</v>
          </cell>
          <cell r="P24">
            <v>2488760</v>
          </cell>
        </row>
        <row r="25">
          <cell r="I25">
            <v>1147395</v>
          </cell>
          <cell r="J25">
            <v>1069835</v>
          </cell>
          <cell r="O25">
            <v>3342392</v>
          </cell>
          <cell r="P25">
            <v>3130445</v>
          </cell>
        </row>
        <row r="26">
          <cell r="I26">
            <v>27316</v>
          </cell>
          <cell r="J26">
            <v>32013</v>
          </cell>
          <cell r="O26">
            <v>77039</v>
          </cell>
          <cell r="P26">
            <v>97041</v>
          </cell>
        </row>
        <row r="27">
          <cell r="I27">
            <v>1069673</v>
          </cell>
          <cell r="J27">
            <v>937714</v>
          </cell>
          <cell r="O27">
            <v>2723193</v>
          </cell>
          <cell r="P27">
            <v>4042209</v>
          </cell>
        </row>
        <row r="28">
          <cell r="I28">
            <v>241277</v>
          </cell>
          <cell r="J28">
            <v>215316</v>
          </cell>
          <cell r="O28">
            <v>612059</v>
          </cell>
          <cell r="P28">
            <v>650155</v>
          </cell>
        </row>
        <row r="34">
          <cell r="I34">
            <v>66583</v>
          </cell>
          <cell r="J34">
            <v>76551</v>
          </cell>
          <cell r="O34">
            <v>205862</v>
          </cell>
          <cell r="P34">
            <v>246743</v>
          </cell>
        </row>
        <row r="35">
          <cell r="I35">
            <v>727</v>
          </cell>
          <cell r="J35">
            <v>2079</v>
          </cell>
          <cell r="O35">
            <v>2162</v>
          </cell>
          <cell r="P35">
            <v>3904</v>
          </cell>
        </row>
        <row r="36">
          <cell r="I36">
            <v>4962</v>
          </cell>
          <cell r="J36">
            <v>4758</v>
          </cell>
          <cell r="O36">
            <v>13050</v>
          </cell>
          <cell r="P36">
            <v>14211</v>
          </cell>
        </row>
        <row r="37">
          <cell r="I37">
            <v>403208</v>
          </cell>
          <cell r="J37">
            <v>447371</v>
          </cell>
          <cell r="O37">
            <v>1217253</v>
          </cell>
          <cell r="P37">
            <v>1431135</v>
          </cell>
        </row>
        <row r="38">
          <cell r="I38">
            <v>180185</v>
          </cell>
          <cell r="J38">
            <v>172885</v>
          </cell>
          <cell r="O38">
            <v>541780</v>
          </cell>
          <cell r="P38">
            <v>541598</v>
          </cell>
        </row>
        <row r="39">
          <cell r="I39">
            <v>26502</v>
          </cell>
          <cell r="J39">
            <v>38142</v>
          </cell>
          <cell r="O39">
            <v>93853</v>
          </cell>
          <cell r="P39">
            <v>116649</v>
          </cell>
        </row>
        <row r="40">
          <cell r="I40">
            <v>134</v>
          </cell>
          <cell r="J40">
            <v>91</v>
          </cell>
          <cell r="O40">
            <v>390</v>
          </cell>
          <cell r="P40">
            <v>348</v>
          </cell>
        </row>
        <row r="41">
          <cell r="I41">
            <v>281</v>
          </cell>
          <cell r="J41">
            <v>231</v>
          </cell>
          <cell r="O41">
            <v>827</v>
          </cell>
          <cell r="P41">
            <v>687</v>
          </cell>
        </row>
        <row r="47">
          <cell r="I47">
            <v>4725582</v>
          </cell>
          <cell r="J47">
            <v>4403012</v>
          </cell>
          <cell r="O47">
            <v>14041458</v>
          </cell>
          <cell r="P47">
            <v>13485838</v>
          </cell>
        </row>
        <row r="48">
          <cell r="I48">
            <v>12827217</v>
          </cell>
          <cell r="J48">
            <v>10319009</v>
          </cell>
          <cell r="O48">
            <v>35605780</v>
          </cell>
          <cell r="P48">
            <v>30255230</v>
          </cell>
        </row>
        <row r="49">
          <cell r="I49">
            <v>237300</v>
          </cell>
          <cell r="J49">
            <v>272228</v>
          </cell>
          <cell r="O49">
            <v>772939</v>
          </cell>
          <cell r="P49">
            <v>830181</v>
          </cell>
        </row>
        <row r="50">
          <cell r="I50">
            <v>9798594</v>
          </cell>
          <cell r="J50">
            <v>8201765</v>
          </cell>
          <cell r="O50">
            <v>26103753</v>
          </cell>
          <cell r="P50">
            <v>24798909</v>
          </cell>
        </row>
        <row r="51">
          <cell r="I51">
            <v>9883</v>
          </cell>
          <cell r="J51">
            <v>0</v>
          </cell>
          <cell r="O51">
            <v>42947</v>
          </cell>
          <cell r="P51">
            <v>0</v>
          </cell>
        </row>
        <row r="52">
          <cell r="I52">
            <v>1289267</v>
          </cell>
          <cell r="J52">
            <v>1346083</v>
          </cell>
          <cell r="O52">
            <v>3657815</v>
          </cell>
          <cell r="P52">
            <v>4016237</v>
          </cell>
        </row>
        <row r="53">
          <cell r="I53">
            <v>70</v>
          </cell>
          <cell r="J53">
            <v>173</v>
          </cell>
          <cell r="O53">
            <v>277</v>
          </cell>
          <cell r="P53">
            <v>7989</v>
          </cell>
        </row>
        <row r="54">
          <cell r="I54">
            <v>54</v>
          </cell>
          <cell r="J54">
            <v>3</v>
          </cell>
          <cell r="O54">
            <v>63</v>
          </cell>
          <cell r="P54">
            <v>170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3 vs Bud'23-Month"/>
      <sheetName val="Act'23 vs Bud'23-QTD"/>
      <sheetName val="Act'23 vs Bud'23-YTD"/>
      <sheetName val="Act'23 vs Act'22-Month"/>
      <sheetName val="Act'23 vs Act'22-QTD"/>
      <sheetName val="Act'23 vs Act'22-YTD"/>
      <sheetName val="Act'23 Month by Month"/>
      <sheetName val="Act'23 vs Bud'23-Month EBIT"/>
      <sheetName val="Act'23 vs Bud'23-QTD EBIT"/>
      <sheetName val="Act'23 vs Bud'23-YTD EBIT"/>
      <sheetName val="Act'23 vs Act'22-Month EBIT"/>
      <sheetName val="Act'23 vs Act'22-QTD EBIT"/>
      <sheetName val="Act'23 vs Act'22-YTD EBIT"/>
      <sheetName val="Extraordinary items - split"/>
      <sheetName val="vs Budget Template"/>
      <sheetName val="vs last year template"/>
      <sheetName val="2022 vs 2021 vs 20 "/>
      <sheetName val="Apr+May vs LY and Budget"/>
      <sheetName val="vs last year &amp; month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4 vs Act'23-QTD"/>
    </sheetNames>
    <sheetDataSet>
      <sheetData sheetId="0">
        <row r="3">
          <cell r="B3" t="str">
            <v>Actual 2023 vs Bud 2023</v>
          </cell>
        </row>
      </sheetData>
      <sheetData sheetId="1">
        <row r="11">
          <cell r="D11">
            <v>178576.12670213435</v>
          </cell>
        </row>
      </sheetData>
      <sheetData sheetId="2">
        <row r="8">
          <cell r="D8" t="str">
            <v>For the period ended</v>
          </cell>
        </row>
      </sheetData>
      <sheetData sheetId="3">
        <row r="3">
          <cell r="B3" t="str">
            <v>Actual 2023 vs. 2022</v>
          </cell>
        </row>
      </sheetData>
      <sheetData sheetId="4">
        <row r="9">
          <cell r="D9" t="str">
            <v>Dec-2023</v>
          </cell>
        </row>
        <row r="73">
          <cell r="E73">
            <v>0.12953279078273386</v>
          </cell>
        </row>
      </sheetData>
      <sheetData sheetId="5">
        <row r="9">
          <cell r="D9" t="str">
            <v>Dec-2023</v>
          </cell>
        </row>
      </sheetData>
      <sheetData sheetId="6">
        <row r="49">
          <cell r="AZ49">
            <v>-41.255871673713145</v>
          </cell>
        </row>
      </sheetData>
      <sheetData sheetId="7">
        <row r="11">
          <cell r="F11">
            <v>74868.867023319341</v>
          </cell>
        </row>
      </sheetData>
      <sheetData sheetId="8">
        <row r="11">
          <cell r="F11">
            <v>215057.62970882718</v>
          </cell>
        </row>
      </sheetData>
      <sheetData sheetId="9">
        <row r="47">
          <cell r="F47">
            <v>-297.32411748562009</v>
          </cell>
        </row>
      </sheetData>
      <sheetData sheetId="10">
        <row r="11">
          <cell r="D11">
            <v>62438.998457696973</v>
          </cell>
        </row>
      </sheetData>
      <sheetData sheetId="11">
        <row r="11">
          <cell r="D11">
            <v>178576.12670213435</v>
          </cell>
        </row>
      </sheetData>
      <sheetData sheetId="12">
        <row r="11">
          <cell r="D11">
            <v>625010.00428555266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15482178.394341813</v>
          </cell>
        </row>
      </sheetData>
      <sheetData sheetId="24">
        <row r="37">
          <cell r="AT37">
            <v>41664828.605099708</v>
          </cell>
        </row>
      </sheetData>
      <sheetData sheetId="25"/>
      <sheetData sheetId="26">
        <row r="44">
          <cell r="O44">
            <v>0</v>
          </cell>
        </row>
      </sheetData>
      <sheetData sheetId="27">
        <row r="95">
          <cell r="R95">
            <v>0</v>
          </cell>
        </row>
      </sheetData>
      <sheetData sheetId="28">
        <row r="3">
          <cell r="E3" t="str">
            <v>Dec-2023</v>
          </cell>
        </row>
      </sheetData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AFH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vg Rev &amp; Cost Feb"/>
      <sheetName val="Act'23 vs Act'22-Month"/>
    </sheetNames>
    <sheetDataSet>
      <sheetData sheetId="0">
        <row r="3">
          <cell r="B3" t="str">
            <v>Actual 2023 vs Bud 2023</v>
          </cell>
        </row>
      </sheetData>
      <sheetData sheetId="1">
        <row r="3">
          <cell r="B3" t="str">
            <v>Actual 2023 vs Bud 2023</v>
          </cell>
        </row>
      </sheetData>
      <sheetData sheetId="2">
        <row r="14">
          <cell r="F14">
            <v>112980.7706039343</v>
          </cell>
        </row>
      </sheetData>
      <sheetData sheetId="3">
        <row r="3">
          <cell r="B3" t="str">
            <v>Actual 2023 vs. 2022</v>
          </cell>
        </row>
      </sheetData>
      <sheetData sheetId="4">
        <row r="3">
          <cell r="B3" t="str">
            <v>Actual 2023 vs. 2022</v>
          </cell>
        </row>
        <row r="73">
          <cell r="E73">
            <v>0.11759196544908526</v>
          </cell>
        </row>
      </sheetData>
      <sheetData sheetId="5">
        <row r="12">
          <cell r="D12">
            <v>3030.1690490682945</v>
          </cell>
        </row>
      </sheetData>
      <sheetData sheetId="6">
        <row r="49">
          <cell r="AH49">
            <v>122.65976012119513</v>
          </cell>
        </row>
      </sheetData>
      <sheetData sheetId="7">
        <row r="11">
          <cell r="F11">
            <v>53586.903090511463</v>
          </cell>
        </row>
      </sheetData>
      <sheetData sheetId="8">
        <row r="11">
          <cell r="F11">
            <v>151486.86527396814</v>
          </cell>
        </row>
      </sheetData>
      <sheetData sheetId="9">
        <row r="11">
          <cell r="F11">
            <v>151486.86527396814</v>
          </cell>
        </row>
      </sheetData>
      <sheetData sheetId="10">
        <row r="11">
          <cell r="D11">
            <v>69324.868668799973</v>
          </cell>
        </row>
      </sheetData>
      <sheetData sheetId="11">
        <row r="11">
          <cell r="D11">
            <v>175844.14024790918</v>
          </cell>
        </row>
      </sheetData>
      <sheetData sheetId="12">
        <row r="11">
          <cell r="D11">
            <v>175844.14024790918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N68">
            <v>1901773.7060634922</v>
          </cell>
        </row>
      </sheetData>
      <sheetData sheetId="24"/>
      <sheetData sheetId="25">
        <row r="21">
          <cell r="C21">
            <v>16424224.095683374</v>
          </cell>
        </row>
      </sheetData>
      <sheetData sheetId="26">
        <row r="37">
          <cell r="AZ37">
            <v>16223965.044632239</v>
          </cell>
        </row>
      </sheetData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TIH6MS5VD6KBHYJPWCLA5ODH2V"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Jun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/>
      <sheetData sheetId="1"/>
      <sheetData sheetId="2"/>
      <sheetData sheetId="3"/>
      <sheetData sheetId="4">
        <row r="73">
          <cell r="E73">
            <v>9.017848286822544E-2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UHWDQDNEHG5RF2SVU2SRBFOA33">
      <xxl21:absoluteUrl r:id="rId2"/>
    </xxl21:alternateUrls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58899.169033546503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309698.11971087364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3 Exc Info"/>
      <sheetName val="Dec YTD 23 Package-AED  Exc Inf"/>
      <sheetName val="IS package 4th Qrt'23 Exc Info"/>
      <sheetName val="Dec Qrt 23 Package-AED  Exc Inf"/>
      <sheetName val="Comprehensive Income Dec YTD'23"/>
      <sheetName val="Comprehensive Income 4th Qrt'23"/>
      <sheetName val="Changes in Equity 4thQrt'23"/>
      <sheetName val="Provisions"/>
      <sheetName val="W.P PJSC"/>
      <sheetName val="B.S PJSC"/>
      <sheetName val="PJSC Detailed C.F 4th Qrt'23"/>
      <sheetName val="C.F Final as Financials"/>
      <sheetName val="Sheet PJSC"/>
      <sheetName val="Sheet Info"/>
      <sheetName val="Cash disclosure"/>
      <sheetName val="Deposits Dec'23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5694022.317213106</v>
          </cell>
        </row>
        <row r="13">
          <cell r="C13">
            <v>-4267092.6779991025</v>
          </cell>
        </row>
        <row r="15">
          <cell r="C15">
            <v>-308452.69999461155</v>
          </cell>
        </row>
        <row r="16">
          <cell r="C16">
            <v>-19812.40692579584</v>
          </cell>
        </row>
        <row r="17">
          <cell r="C17">
            <v>-226.80508559999998</v>
          </cell>
        </row>
        <row r="18">
          <cell r="C18">
            <v>-845127.73146962549</v>
          </cell>
        </row>
        <row r="20">
          <cell r="C20">
            <v>13350.598202536114</v>
          </cell>
        </row>
        <row r="23">
          <cell r="C23">
            <v>8367.2050232442307</v>
          </cell>
        </row>
        <row r="24">
          <cell r="C24">
            <v>-128151.98761537918</v>
          </cell>
        </row>
        <row r="25">
          <cell r="C25">
            <v>5572.1588299032837</v>
          </cell>
        </row>
        <row r="27">
          <cell r="C27">
            <v>-22713.372668421682</v>
          </cell>
        </row>
        <row r="31">
          <cell r="C31">
            <v>-1328.8957151279592</v>
          </cell>
        </row>
        <row r="37">
          <cell r="C37">
            <v>130625.70548775788</v>
          </cell>
        </row>
        <row r="38">
          <cell r="C38">
            <v>-1328.8979921399591</v>
          </cell>
        </row>
        <row r="41">
          <cell r="C41">
            <v>-891.10808906793704</v>
          </cell>
        </row>
      </sheetData>
      <sheetData sheetId="1">
        <row r="7">
          <cell r="I7">
            <v>3100.6002120799226</v>
          </cell>
        </row>
      </sheetData>
      <sheetData sheetId="2"/>
      <sheetData sheetId="3">
        <row r="7">
          <cell r="I7">
            <v>684.93599597589025</v>
          </cell>
        </row>
      </sheetData>
      <sheetData sheetId="4">
        <row r="15">
          <cell r="C15">
            <v>-34375.945351681054</v>
          </cell>
        </row>
      </sheetData>
      <sheetData sheetId="5"/>
      <sheetData sheetId="6">
        <row r="12">
          <cell r="Q12">
            <v>-856.3682652127992</v>
          </cell>
        </row>
      </sheetData>
      <sheetData sheetId="7"/>
      <sheetData sheetId="8">
        <row r="11">
          <cell r="C11">
            <v>575210.29244472948</v>
          </cell>
        </row>
      </sheetData>
      <sheetData sheetId="9">
        <row r="10">
          <cell r="C10">
            <v>881142.12245780369</v>
          </cell>
        </row>
        <row r="11">
          <cell r="C11">
            <v>863981.79160646477</v>
          </cell>
        </row>
        <row r="12">
          <cell r="C12">
            <v>1750190.7033648121</v>
          </cell>
        </row>
        <row r="13">
          <cell r="C13">
            <v>309935.02390400699</v>
          </cell>
        </row>
        <row r="14">
          <cell r="C14">
            <v>35006.683160751934</v>
          </cell>
        </row>
        <row r="15">
          <cell r="C15">
            <v>17574.192445400557</v>
          </cell>
        </row>
        <row r="16">
          <cell r="C16">
            <v>26109.599514391179</v>
          </cell>
        </row>
        <row r="17">
          <cell r="C17">
            <v>7019.0151633756832</v>
          </cell>
        </row>
        <row r="21">
          <cell r="C21">
            <v>1090467.8744692479</v>
          </cell>
        </row>
        <row r="22">
          <cell r="C22">
            <v>266303.68496322649</v>
          </cell>
        </row>
        <row r="23">
          <cell r="C23">
            <v>8021.0490463693286</v>
          </cell>
        </row>
        <row r="24">
          <cell r="C24">
            <v>567189.24339836009</v>
          </cell>
        </row>
        <row r="26">
          <cell r="C26">
            <v>4898.3015131627399</v>
          </cell>
        </row>
        <row r="30">
          <cell r="C30">
            <v>1464100.0004904012</v>
          </cell>
        </row>
        <row r="31">
          <cell r="C31">
            <v>500813.97132662067</v>
          </cell>
        </row>
        <row r="32">
          <cell r="C32">
            <v>-560017.06468192616</v>
          </cell>
        </row>
        <row r="33">
          <cell r="C33">
            <v>-336985.87682925095</v>
          </cell>
        </row>
        <row r="34">
          <cell r="C34">
            <v>-12015.339216443281</v>
          </cell>
        </row>
        <row r="35">
          <cell r="C35">
            <v>1405470.3010672617</v>
          </cell>
        </row>
        <row r="37">
          <cell r="C37">
            <v>2461365.992156663</v>
          </cell>
        </row>
        <row r="38">
          <cell r="C38">
            <v>6554.4241120929082</v>
          </cell>
        </row>
        <row r="43">
          <cell r="C43">
            <v>1067335.0496541616</v>
          </cell>
        </row>
        <row r="44">
          <cell r="C44">
            <v>771905.81678478431</v>
          </cell>
        </row>
        <row r="45">
          <cell r="C45">
            <v>169967.95069779558</v>
          </cell>
        </row>
        <row r="46">
          <cell r="C46">
            <v>36197.741469329972</v>
          </cell>
        </row>
        <row r="47">
          <cell r="C47">
            <v>13001.57919601896</v>
          </cell>
        </row>
        <row r="51">
          <cell r="C51">
            <v>326363.56282089197</v>
          </cell>
        </row>
        <row r="52">
          <cell r="C52">
            <v>176679.68501838078</v>
          </cell>
        </row>
        <row r="53">
          <cell r="C53">
            <v>2847.8825614364423</v>
          </cell>
        </row>
        <row r="54">
          <cell r="C54">
            <v>48505.220927523114</v>
          </cell>
        </row>
        <row r="55">
          <cell r="C55">
            <v>36675.583937892967</v>
          </cell>
        </row>
        <row r="56">
          <cell r="C56">
            <v>47673.997270599772</v>
          </cell>
        </row>
        <row r="57">
          <cell r="C57">
            <v>659839.73154725286</v>
          </cell>
        </row>
        <row r="59">
          <cell r="C59">
            <v>2925.0663582312336</v>
          </cell>
        </row>
      </sheetData>
      <sheetData sheetId="10">
        <row r="13">
          <cell r="C13">
            <v>113345.90846682701</v>
          </cell>
        </row>
      </sheetData>
      <sheetData sheetId="11">
        <row r="9">
          <cell r="C9">
            <v>152447.97017867517</v>
          </cell>
        </row>
        <row r="10">
          <cell r="C10">
            <v>-1449.8421823139593</v>
          </cell>
        </row>
        <row r="14">
          <cell r="C14">
            <v>113621.52508742501</v>
          </cell>
        </row>
        <row r="15">
          <cell r="C15">
            <v>235852.23298875414</v>
          </cell>
        </row>
        <row r="16">
          <cell r="C16">
            <v>13562.684546823964</v>
          </cell>
        </row>
        <row r="17">
          <cell r="C17">
            <v>33757.807371225666</v>
          </cell>
        </row>
        <row r="18">
          <cell r="C18">
            <v>20157.72931076384</v>
          </cell>
        </row>
        <row r="19">
          <cell r="C19">
            <v>70389.471799009159</v>
          </cell>
        </row>
        <row r="20">
          <cell r="C20">
            <v>49582.444086265794</v>
          </cell>
        </row>
        <row r="21">
          <cell r="C21">
            <v>-5572.1588299032837</v>
          </cell>
        </row>
        <row r="23">
          <cell r="C23">
            <v>1160.2158707363099</v>
          </cell>
        </row>
        <row r="24">
          <cell r="C24">
            <v>0</v>
          </cell>
        </row>
        <row r="25">
          <cell r="C25">
            <v>-1246.9578779999999</v>
          </cell>
        </row>
        <row r="26">
          <cell r="C26">
            <v>0</v>
          </cell>
        </row>
        <row r="29">
          <cell r="C29">
            <v>19735.423417099515</v>
          </cell>
        </row>
        <row r="30">
          <cell r="C30">
            <v>2962.4156035287601</v>
          </cell>
        </row>
        <row r="31">
          <cell r="C31">
            <v>-30451.902982950607</v>
          </cell>
        </row>
        <row r="32">
          <cell r="C32">
            <v>-22567.496729400227</v>
          </cell>
        </row>
        <row r="33">
          <cell r="C33">
            <v>-80511.368786730265</v>
          </cell>
        </row>
        <row r="34">
          <cell r="C34">
            <v>-2958.4208039810401</v>
          </cell>
        </row>
        <row r="38">
          <cell r="C38">
            <v>-25997.234166173945</v>
          </cell>
        </row>
        <row r="39">
          <cell r="C39">
            <v>-34357.319818209551</v>
          </cell>
        </row>
        <row r="43">
          <cell r="C43">
            <v>-128012.96454729525</v>
          </cell>
        </row>
        <row r="44">
          <cell r="C44">
            <v>11287.141138800001</v>
          </cell>
        </row>
        <row r="45">
          <cell r="C45">
            <v>5156.594745921986</v>
          </cell>
        </row>
        <row r="47">
          <cell r="C47">
            <v>8367.2050232442307</v>
          </cell>
        </row>
        <row r="48">
          <cell r="C48">
            <v>4.9862181918115311E-2</v>
          </cell>
        </row>
        <row r="49">
          <cell r="C49">
            <v>36082.3125</v>
          </cell>
        </row>
        <row r="50">
          <cell r="C50">
            <v>5731.3617279115779</v>
          </cell>
        </row>
        <row r="51">
          <cell r="C51">
            <v>-1107.0151633756832</v>
          </cell>
        </row>
        <row r="52">
          <cell r="C52">
            <v>-140.87833085127437</v>
          </cell>
        </row>
        <row r="53">
          <cell r="C53">
            <v>1777.822395005164</v>
          </cell>
        </row>
        <row r="59">
          <cell r="C59">
            <v>-109031.03559761918</v>
          </cell>
        </row>
        <row r="60">
          <cell r="C60">
            <v>34635.533731224801</v>
          </cell>
        </row>
        <row r="61">
          <cell r="C61">
            <v>-56540.07744660278</v>
          </cell>
        </row>
        <row r="62">
          <cell r="C62">
            <v>-226274.93052423574</v>
          </cell>
        </row>
        <row r="63">
          <cell r="C63">
            <v>-1.8071621060785099</v>
          </cell>
        </row>
        <row r="65">
          <cell r="C65">
            <v>-139579.87599999999</v>
          </cell>
        </row>
        <row r="66">
          <cell r="C66">
            <v>-7639.0079999999998</v>
          </cell>
        </row>
        <row r="71">
          <cell r="C71">
            <v>-6087.1956305906024</v>
          </cell>
        </row>
        <row r="72">
          <cell r="C72">
            <v>627600.10830645578</v>
          </cell>
        </row>
      </sheetData>
      <sheetData sheetId="12">
        <row r="13">
          <cell r="D13">
            <v>0</v>
          </cell>
        </row>
      </sheetData>
      <sheetData sheetId="13">
        <row r="14">
          <cell r="H14">
            <v>3781908.9420969845</v>
          </cell>
        </row>
      </sheetData>
      <sheetData sheetId="14">
        <row r="4">
          <cell r="C4">
            <v>575391.1707755808</v>
          </cell>
        </row>
      </sheetData>
      <sheetData sheetId="15"/>
      <sheetData sheetId="16"/>
      <sheetData sheetId="17">
        <row r="10">
          <cell r="E10">
            <v>-119.32786309758207</v>
          </cell>
        </row>
      </sheetData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rt'24 Exc Info"/>
      <sheetName val="1st Qrt 24 Package-AED  Exc Inf"/>
      <sheetName val="IS package 4th Qrt'23 Exc Info"/>
      <sheetName val="Dec Qrt 23 Package-AED  Exc Inf"/>
      <sheetName val="Comprehensive Income 1st Qrt'24"/>
      <sheetName val="Comprehensive Income 4th Qrt'23"/>
      <sheetName val="Changes in Equity 1stQrt'24"/>
      <sheetName val="Provisions"/>
      <sheetName val="B.S PJSC"/>
      <sheetName val="W.P PJSC"/>
      <sheetName val="PJSC Detailed C.F 1st Qrt'24"/>
      <sheetName val="C.F Final as Financials"/>
      <sheetName val="Sheet PJSC"/>
      <sheetName val="Sheet Info"/>
      <sheetName val="Cash disclosure"/>
      <sheetName val="Deposits Mar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 refreshError="1">
        <row r="12">
          <cell r="C12">
            <v>1540700.6575151267</v>
          </cell>
        </row>
        <row r="13">
          <cell r="C13">
            <v>-1145300.0316436354</v>
          </cell>
        </row>
        <row r="15">
          <cell r="C15">
            <v>-81060.546702155159</v>
          </cell>
        </row>
        <row r="16">
          <cell r="C16">
            <v>-6235.5650533830667</v>
          </cell>
        </row>
        <row r="17">
          <cell r="C17">
            <v>-4.6568568000000008</v>
          </cell>
        </row>
        <row r="18">
          <cell r="C18">
            <v>-218744.26121254172</v>
          </cell>
        </row>
        <row r="19">
          <cell r="C19"/>
        </row>
        <row r="20">
          <cell r="C20">
            <v>3051.2437238215953</v>
          </cell>
        </row>
        <row r="23">
          <cell r="C23">
            <v>1019.2795049527581</v>
          </cell>
        </row>
        <row r="24">
          <cell r="C24">
            <v>-31351.42835082909</v>
          </cell>
        </row>
        <row r="25">
          <cell r="C25">
            <v>691.53127061743362</v>
          </cell>
        </row>
        <row r="27">
          <cell r="C27">
            <v>-15741.925977850309</v>
          </cell>
        </row>
        <row r="31">
          <cell r="C31">
            <v>-284.25333868520545</v>
          </cell>
        </row>
        <row r="32">
          <cell r="C32"/>
        </row>
        <row r="37">
          <cell r="C37">
            <v>46849.109590275613</v>
          </cell>
        </row>
        <row r="38">
          <cell r="C38">
            <v>-284.25337541120564</v>
          </cell>
        </row>
        <row r="41">
          <cell r="C41">
            <v>175.18666377410992</v>
          </cell>
        </row>
      </sheetData>
      <sheetData sheetId="1" refreshError="1"/>
      <sheetData sheetId="2" refreshError="1"/>
      <sheetData sheetId="3" refreshError="1"/>
      <sheetData sheetId="4">
        <row r="15">
          <cell r="C15">
            <v>-23676.026239945986</v>
          </cell>
        </row>
      </sheetData>
      <sheetData sheetId="5" refreshError="1"/>
      <sheetData sheetId="6" refreshError="1"/>
      <sheetData sheetId="7" refreshError="1"/>
      <sheetData sheetId="8">
        <row r="10">
          <cell r="C10">
            <v>854716.60761358775</v>
          </cell>
        </row>
        <row r="11">
          <cell r="C11">
            <v>841861.61923992017</v>
          </cell>
        </row>
        <row r="12">
          <cell r="C12">
            <v>1771401.8137398167</v>
          </cell>
        </row>
        <row r="13">
          <cell r="C13">
            <v>313626.15449613071</v>
          </cell>
        </row>
        <row r="14">
          <cell r="C14">
            <v>35054.875617855971</v>
          </cell>
        </row>
        <row r="15">
          <cell r="C15">
            <v>17749.859830927981</v>
          </cell>
        </row>
        <row r="16">
          <cell r="C16">
            <v>28814.956686400667</v>
          </cell>
        </row>
        <row r="17">
          <cell r="C17">
            <v>10829.374651192376</v>
          </cell>
        </row>
        <row r="21">
          <cell r="C21">
            <v>1063943.4819076052</v>
          </cell>
        </row>
        <row r="22">
          <cell r="C22">
            <v>287727.6830909726</v>
          </cell>
        </row>
        <row r="23">
          <cell r="C23">
            <v>7726.3949177156719</v>
          </cell>
        </row>
        <row r="24">
          <cell r="C24">
            <v>563509.07544126781</v>
          </cell>
        </row>
        <row r="26">
          <cell r="C26">
            <v>4221.3100452591771</v>
          </cell>
        </row>
        <row r="30">
          <cell r="C30">
            <v>1464100.0004904012</v>
          </cell>
        </row>
        <row r="31">
          <cell r="C31">
            <v>500813.97132662078</v>
          </cell>
        </row>
        <row r="32">
          <cell r="C32">
            <v>-585987.27493268764</v>
          </cell>
        </row>
        <row r="33">
          <cell r="C33">
            <v>-336985.87682925095</v>
          </cell>
        </row>
        <row r="34">
          <cell r="C34">
            <v>-11835.26911460567</v>
          </cell>
        </row>
        <row r="35">
          <cell r="C35">
            <v>1452035.1507781483</v>
          </cell>
        </row>
        <row r="37">
          <cell r="C37">
            <v>2482140.7017186261</v>
          </cell>
        </row>
        <row r="38">
          <cell r="C38">
            <v>6393.9920872263665</v>
          </cell>
        </row>
        <row r="43">
          <cell r="C43">
            <v>1030809.2332337081</v>
          </cell>
        </row>
        <row r="44">
          <cell r="C44">
            <v>741381.52301525639</v>
          </cell>
        </row>
        <row r="45">
          <cell r="C45">
            <v>177289.11765624973</v>
          </cell>
        </row>
        <row r="46">
          <cell r="C46">
            <v>34304.380216095284</v>
          </cell>
        </row>
        <row r="47">
          <cell r="C47">
            <v>11845.790703026922</v>
          </cell>
        </row>
        <row r="51">
          <cell r="C51">
            <v>330174.36706142186</v>
          </cell>
        </row>
        <row r="52">
          <cell r="C52">
            <v>171720.06006144168</v>
          </cell>
        </row>
        <row r="53">
          <cell r="C53">
            <v>5038.5982292214321</v>
          </cell>
        </row>
        <row r="54">
          <cell r="C54">
            <v>37827.939401332427</v>
          </cell>
        </row>
        <row r="55">
          <cell r="C55">
            <v>45965.860476819478</v>
          </cell>
        </row>
        <row r="56">
          <cell r="C56">
            <v>42215.222869669284</v>
          </cell>
        </row>
        <row r="57">
          <cell r="C57">
            <v>681516.24871896021</v>
          </cell>
        </row>
        <row r="59">
          <cell r="C59">
            <v>2560.1725490087683</v>
          </cell>
        </row>
      </sheetData>
      <sheetData sheetId="9" refreshError="1"/>
      <sheetData sheetId="10" refreshError="1"/>
      <sheetData sheetId="11" refreshError="1">
        <row r="9">
          <cell r="C9">
            <v>62766.222195174138</v>
          </cell>
        </row>
        <row r="10">
          <cell r="C10">
            <v>-315.83707434320547</v>
          </cell>
        </row>
        <row r="14">
          <cell r="C14">
            <v>28592.252072493553</v>
          </cell>
        </row>
        <row r="15">
          <cell r="C15">
            <v>57192.491273514497</v>
          </cell>
        </row>
        <row r="16">
          <cell r="C16">
            <v>3471.7888127689116</v>
          </cell>
        </row>
        <row r="17">
          <cell r="C17">
            <v>11455.756728560737</v>
          </cell>
        </row>
        <row r="18">
          <cell r="C18">
            <v>5950.4228101650669</v>
          </cell>
        </row>
        <row r="19">
          <cell r="C19">
            <v>17569.459086268966</v>
          </cell>
        </row>
        <row r="20">
          <cell r="C20">
            <v>12795.886280829363</v>
          </cell>
        </row>
        <row r="21">
          <cell r="C21">
            <v>-691.53127061743362</v>
          </cell>
        </row>
        <row r="23">
          <cell r="C23">
            <v>-158.85445557643763</v>
          </cell>
        </row>
        <row r="24">
          <cell r="C24">
            <v>0</v>
          </cell>
        </row>
        <row r="25">
          <cell r="C25">
            <v>-135.8054028</v>
          </cell>
        </row>
        <row r="26">
          <cell r="C26">
            <v>0</v>
          </cell>
        </row>
        <row r="29">
          <cell r="C29">
            <v>20825.425759205631</v>
          </cell>
        </row>
        <row r="30">
          <cell r="C30">
            <v>3806.2121464102925</v>
          </cell>
        </row>
        <row r="31">
          <cell r="C31">
            <v>-22914.273707637389</v>
          </cell>
        </row>
        <row r="32">
          <cell r="C32">
            <v>-5458.7771303307163</v>
          </cell>
        </row>
        <row r="33">
          <cell r="C33">
            <v>20214.694801817717</v>
          </cell>
        </row>
        <row r="34">
          <cell r="C34">
            <v>-1156.2092969730784</v>
          </cell>
        </row>
        <row r="38">
          <cell r="C38">
            <v>-4082.1906404910819</v>
          </cell>
        </row>
        <row r="39">
          <cell r="C39">
            <v>-2084.4636203354335</v>
          </cell>
        </row>
        <row r="43">
          <cell r="C43">
            <v>-26779.131840469348</v>
          </cell>
        </row>
        <row r="44">
          <cell r="C44">
            <v>-21378.51028205494</v>
          </cell>
        </row>
        <row r="45">
          <cell r="C45">
            <v>-1560.855</v>
          </cell>
        </row>
        <row r="46">
          <cell r="C46">
            <v>2010.1393282305141</v>
          </cell>
        </row>
        <row r="48">
          <cell r="C48">
            <v>1019.2795049527581</v>
          </cell>
        </row>
        <row r="49">
          <cell r="C49">
            <v>1.0868729754577089E-2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-3810.3746511923764</v>
          </cell>
        </row>
        <row r="53">
          <cell r="C53">
            <v>-4.6552003888728848</v>
          </cell>
        </row>
        <row r="54">
          <cell r="C54">
            <v>294.65412865365647</v>
          </cell>
        </row>
        <row r="60">
          <cell r="C60">
            <v>-33979.395590421089</v>
          </cell>
        </row>
        <row r="61">
          <cell r="C61">
            <v>33390.208253085177</v>
          </cell>
        </row>
        <row r="62">
          <cell r="C62">
            <v>-70588.769332641008</v>
          </cell>
        </row>
        <row r="63">
          <cell r="C63">
            <v>-91996.483673626848</v>
          </cell>
        </row>
        <row r="64">
          <cell r="C64">
            <v>0</v>
          </cell>
        </row>
        <row r="66">
          <cell r="C66">
            <v>0</v>
          </cell>
        </row>
        <row r="67">
          <cell r="C67">
            <v>0</v>
          </cell>
        </row>
        <row r="72">
          <cell r="C72">
            <v>-129.54503590490458</v>
          </cell>
        </row>
        <row r="73">
          <cell r="C73">
            <v>564340.55911071319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Jun YTD'24 Exc Info"/>
      <sheetName val="Jun YTD 24 Package-AED  Exc Inf"/>
      <sheetName val="IS package 2nd Qrt'24 Exc Info"/>
      <sheetName val="2nd Qrt 24 Package-AED  Exc Inf"/>
      <sheetName val="Comprehensive Income Jun YTD'24"/>
      <sheetName val="Comprehensive Income 2nd Qrt'24"/>
      <sheetName val="Changes in Equity 2ndQrt'24"/>
      <sheetName val="Provisions"/>
      <sheetName val="B.S PJSC"/>
      <sheetName val="W.P PJSC"/>
      <sheetName val="PJSC Detailed C.F 2nd Qrt'24"/>
      <sheetName val="C.F Final as Financials"/>
      <sheetName val="Sheet PJSC"/>
      <sheetName val="Sheet Info"/>
      <sheetName val="Cash disclosure"/>
      <sheetName val="Deposits Jun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1496254.7168045281</v>
          </cell>
        </row>
        <row r="13">
          <cell r="C13">
            <v>-1151123.4276573537</v>
          </cell>
        </row>
        <row r="15">
          <cell r="C15">
            <v>-83428.226084624766</v>
          </cell>
        </row>
        <row r="16">
          <cell r="C16">
            <v>-4422.3256357375849</v>
          </cell>
        </row>
        <row r="17">
          <cell r="C17">
            <v>13.6290186</v>
          </cell>
        </row>
        <row r="18">
          <cell r="C18">
            <v>-216953.99865474366</v>
          </cell>
        </row>
        <row r="19">
          <cell r="C19">
            <v>0</v>
          </cell>
        </row>
        <row r="20">
          <cell r="C20">
            <v>6621.4547618493361</v>
          </cell>
        </row>
        <row r="23">
          <cell r="C23">
            <v>1580.8113013704788</v>
          </cell>
        </row>
        <row r="24">
          <cell r="C24">
            <v>-30502.360294526236</v>
          </cell>
        </row>
        <row r="25">
          <cell r="C25">
            <v>220.17170557605871</v>
          </cell>
        </row>
        <row r="27">
          <cell r="C27">
            <v>-14908.962182461704</v>
          </cell>
        </row>
        <row r="31">
          <cell r="C31">
            <v>-267.35304049398258</v>
          </cell>
        </row>
        <row r="37">
          <cell r="C37">
            <v>3160.5026874397081</v>
          </cell>
        </row>
        <row r="38">
          <cell r="C38">
            <v>-267.35304049398246</v>
          </cell>
        </row>
        <row r="41">
          <cell r="C41">
            <v>190.98039503667349</v>
          </cell>
        </row>
      </sheetData>
      <sheetData sheetId="3"/>
      <sheetData sheetId="4">
        <row r="15">
          <cell r="C15">
            <v>-28679.460711324184</v>
          </cell>
        </row>
      </sheetData>
      <sheetData sheetId="5"/>
      <sheetData sheetId="6">
        <row r="12">
          <cell r="U12">
            <v>-520.8102490280246</v>
          </cell>
        </row>
      </sheetData>
      <sheetData sheetId="7"/>
      <sheetData sheetId="8">
        <row r="10">
          <cell r="C10">
            <v>853787.12644458865</v>
          </cell>
        </row>
        <row r="11">
          <cell r="C11">
            <v>832344.34019118443</v>
          </cell>
        </row>
        <row r="12">
          <cell r="C12">
            <v>1771401.8137682467</v>
          </cell>
        </row>
        <row r="13">
          <cell r="C13">
            <v>310086.5410460268</v>
          </cell>
        </row>
        <row r="14">
          <cell r="C14">
            <v>35113.130490044838</v>
          </cell>
        </row>
        <row r="15">
          <cell r="C15">
            <v>17897.547894905329</v>
          </cell>
        </row>
        <row r="16">
          <cell r="C16">
            <v>30410.142010669315</v>
          </cell>
        </row>
        <row r="17">
          <cell r="C17">
            <v>10535.385686552721</v>
          </cell>
        </row>
        <row r="21">
          <cell r="C21">
            <v>1018068.6071437825</v>
          </cell>
        </row>
        <row r="22">
          <cell r="C22">
            <v>2889.3856741184482</v>
          </cell>
        </row>
        <row r="23">
          <cell r="C23">
            <v>307994.73968162382</v>
          </cell>
        </row>
        <row r="24">
          <cell r="C24">
            <v>7790.6964969079545</v>
          </cell>
        </row>
        <row r="25">
          <cell r="C25">
            <v>448913.97156125103</v>
          </cell>
        </row>
        <row r="27">
          <cell r="C27">
            <v>3689.4376031983566</v>
          </cell>
        </row>
        <row r="31">
          <cell r="C31">
            <v>1464100.0004904012</v>
          </cell>
        </row>
        <row r="32">
          <cell r="C32">
            <v>-2751.4369179577952</v>
          </cell>
        </row>
        <row r="33">
          <cell r="C33">
            <v>-4359.4507020285855</v>
          </cell>
        </row>
        <row r="34">
          <cell r="C34">
            <v>500813.97132662078</v>
          </cell>
        </row>
        <row r="35">
          <cell r="C35">
            <v>-588222.45489730954</v>
          </cell>
        </row>
        <row r="36">
          <cell r="C36">
            <v>-336985.87682925095</v>
          </cell>
        </row>
        <row r="37">
          <cell r="C37">
            <v>-11675.412550541419</v>
          </cell>
        </row>
        <row r="38">
          <cell r="C38">
            <v>1454928.301242688</v>
          </cell>
        </row>
        <row r="40">
          <cell r="C40">
            <v>2475847.6411626213</v>
          </cell>
        </row>
        <row r="41">
          <cell r="C41">
            <v>4668.1983820472415</v>
          </cell>
        </row>
        <row r="46">
          <cell r="C46">
            <v>950736.57666213613</v>
          </cell>
        </row>
        <row r="47">
          <cell r="C47">
            <v>741125.47064263374</v>
          </cell>
        </row>
        <row r="48">
          <cell r="C48">
            <v>180533.48927764926</v>
          </cell>
        </row>
        <row r="49">
          <cell r="C49">
            <v>37842.599492883091</v>
          </cell>
        </row>
        <row r="50">
          <cell r="C50">
            <v>11590.575406102367</v>
          </cell>
        </row>
        <row r="54">
          <cell r="C54">
            <v>302309.07726790349</v>
          </cell>
        </row>
        <row r="55">
          <cell r="C55">
            <v>173242.0666403659</v>
          </cell>
        </row>
        <row r="56">
          <cell r="C56">
            <v>6313.947161011266</v>
          </cell>
        </row>
        <row r="57">
          <cell r="C57">
            <v>36908.809376909674</v>
          </cell>
        </row>
        <row r="58">
          <cell r="C58">
            <v>35438.521751662163</v>
          </cell>
        </row>
        <row r="59">
          <cell r="C59">
            <v>31543.650679150447</v>
          </cell>
        </row>
        <row r="60">
          <cell r="C60">
            <v>660656.4423698606</v>
          </cell>
        </row>
        <row r="62">
          <cell r="C62">
            <v>2165.8002083786305</v>
          </cell>
        </row>
      </sheetData>
      <sheetData sheetId="9">
        <row r="11">
          <cell r="C11">
            <v>456704.668058159</v>
          </cell>
        </row>
      </sheetData>
      <sheetData sheetId="10">
        <row r="13">
          <cell r="C13">
            <v>56778.114950064519</v>
          </cell>
        </row>
      </sheetData>
      <sheetData sheetId="11">
        <row r="9">
          <cell r="C9">
            <v>81026.666999567635</v>
          </cell>
        </row>
        <row r="10">
          <cell r="C10">
            <v>-612.89601338918817</v>
          </cell>
        </row>
        <row r="14">
          <cell r="C14">
            <v>56914.298006322519</v>
          </cell>
        </row>
        <row r="15">
          <cell r="C15">
            <v>113790.12397352007</v>
          </cell>
        </row>
        <row r="16">
          <cell r="C16">
            <v>7009.6181384849451</v>
          </cell>
        </row>
        <row r="17">
          <cell r="C17">
            <v>19358.317578848691</v>
          </cell>
        </row>
        <row r="18">
          <cell r="C18">
            <v>10414.42926074065</v>
          </cell>
        </row>
        <row r="19">
          <cell r="C19">
            <v>33758.438167513057</v>
          </cell>
        </row>
        <row r="20">
          <cell r="C20">
            <v>25556.048840527037</v>
          </cell>
        </row>
        <row r="21">
          <cell r="C21">
            <v>-911.7029761934923</v>
          </cell>
        </row>
        <row r="23">
          <cell r="C23">
            <v>21.551893239883473</v>
          </cell>
        </row>
        <row r="24">
          <cell r="C24">
            <v>0</v>
          </cell>
        </row>
        <row r="25">
          <cell r="C25">
            <v>-572.9586534</v>
          </cell>
        </row>
        <row r="26">
          <cell r="C26">
            <v>0</v>
          </cell>
        </row>
        <row r="29">
          <cell r="C29">
            <v>62228.566278089958</v>
          </cell>
        </row>
        <row r="30">
          <cell r="C30">
            <v>-23948.249596908074</v>
          </cell>
        </row>
        <row r="31">
          <cell r="C31">
            <v>-41579.52416719708</v>
          </cell>
        </row>
        <row r="32">
          <cell r="C32">
            <v>-16130.349320849553</v>
          </cell>
        </row>
        <row r="33">
          <cell r="C33">
            <v>-841.14053755307305</v>
          </cell>
        </row>
        <row r="34">
          <cell r="C34">
            <v>-1411.4245938976328</v>
          </cell>
        </row>
        <row r="38">
          <cell r="C38">
            <v>-8669.9508682403375</v>
          </cell>
        </row>
        <row r="39">
          <cell r="C39">
            <v>-24418.07382630706</v>
          </cell>
        </row>
        <row r="43">
          <cell r="C43">
            <v>-56291.152330022647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6">
          <cell r="C46">
            <v>4455.8599499846769</v>
          </cell>
        </row>
        <row r="48">
          <cell r="C48">
            <v>2600.0908063232368</v>
          </cell>
        </row>
        <row r="49">
          <cell r="C49">
            <v>1.6172053407558451E-2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-3516.3856865527214</v>
          </cell>
        </row>
        <row r="53">
          <cell r="C53">
            <v>8.9739594043361706</v>
          </cell>
        </row>
        <row r="54">
          <cell r="C54">
            <v>-1342.8976975575042</v>
          </cell>
        </row>
        <row r="55">
          <cell r="C55">
            <v>230.35254946137479</v>
          </cell>
        </row>
        <row r="61">
          <cell r="C61">
            <v>-64112.54300090333</v>
          </cell>
        </row>
        <row r="62">
          <cell r="C62">
            <v>33778.630390439175</v>
          </cell>
        </row>
        <row r="63">
          <cell r="C63">
            <v>-155353.78685068447</v>
          </cell>
        </row>
        <row r="64">
          <cell r="C64">
            <v>-10000</v>
          </cell>
        </row>
        <row r="65">
          <cell r="C65">
            <v>-131793.84254379928</v>
          </cell>
        </row>
        <row r="66">
          <cell r="C66">
            <v>-388.68600552599287</v>
          </cell>
        </row>
        <row r="68">
          <cell r="C68">
            <v>0</v>
          </cell>
        </row>
        <row r="69">
          <cell r="C69">
            <v>0</v>
          </cell>
        </row>
        <row r="74">
          <cell r="C74">
            <v>-6309.8489814806599</v>
          </cell>
        </row>
        <row r="75">
          <cell r="C75">
            <v>564340.55911071319</v>
          </cell>
        </row>
      </sheetData>
      <sheetData sheetId="12">
        <row r="17">
          <cell r="F17">
            <v>19610888.997624561</v>
          </cell>
        </row>
      </sheetData>
      <sheetData sheetId="13"/>
      <sheetData sheetId="14"/>
      <sheetData sheetId="15"/>
      <sheetData sheetId="16"/>
      <sheetData sheetId="17">
        <row r="10">
          <cell r="E10">
            <v>14.080726398244053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tabSelected="1" zoomScaleNormal="100" workbookViewId="0">
      <selection activeCell="B5" sqref="B5"/>
    </sheetView>
  </sheetViews>
  <sheetFormatPr defaultColWidth="9.140625" defaultRowHeight="12.75" x14ac:dyDescent="0.2"/>
  <cols>
    <col min="1" max="2" width="9.140625" style="20"/>
    <col min="3" max="3" width="25.5703125" style="20" bestFit="1" customWidth="1"/>
    <col min="4" max="16384" width="9.140625" style="20"/>
  </cols>
  <sheetData>
    <row r="1" spans="1:61" x14ac:dyDescent="0.2">
      <c r="A1" s="162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</row>
    <row r="2" spans="1:61" x14ac:dyDescent="0.2">
      <c r="A2" s="162">
        <f>1/3.6726</f>
        <v>0.27228666339922669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</row>
    <row r="3" spans="1:61" x14ac:dyDescent="0.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</row>
    <row r="4" spans="1:61" x14ac:dyDescent="0.2">
      <c r="A4" s="162" t="str">
        <f>B5</f>
        <v>USD</v>
      </c>
      <c r="B4" s="164" t="s">
        <v>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</row>
    <row r="5" spans="1:61" x14ac:dyDescent="0.2">
      <c r="A5" s="162">
        <f>IF(B5="AED",A1,A2)</f>
        <v>0.27228666339922669</v>
      </c>
      <c r="B5" s="163" t="s">
        <v>353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</row>
    <row r="6" spans="1:6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</row>
    <row r="7" spans="1:6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</row>
    <row r="8" spans="1:6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</row>
    <row r="9" spans="1:6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</row>
    <row r="10" spans="1:61" ht="51" x14ac:dyDescent="0.75">
      <c r="A10" s="163"/>
      <c r="B10" s="163"/>
      <c r="C10" s="163"/>
      <c r="D10" s="163"/>
      <c r="E10" s="163"/>
      <c r="F10" s="13" t="s">
        <v>1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</row>
    <row r="11" spans="1:6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</row>
    <row r="12" spans="1:61" x14ac:dyDescent="0.2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</row>
    <row r="13" spans="1:61" x14ac:dyDescent="0.2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</row>
    <row r="14" spans="1:61" x14ac:dyDescent="0.2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</row>
    <row r="15" spans="1:61" ht="15" x14ac:dyDescent="0.25">
      <c r="A15" s="163"/>
      <c r="B15" s="163"/>
      <c r="C15" s="14" t="s">
        <v>2</v>
      </c>
      <c r="D15" s="14"/>
      <c r="E15" s="14"/>
      <c r="F15" s="14"/>
      <c r="G15" s="14"/>
      <c r="H15" s="14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</row>
    <row r="16" spans="1:61" ht="15" x14ac:dyDescent="0.25">
      <c r="A16" s="163"/>
      <c r="B16" s="163"/>
      <c r="C16" s="14" t="s">
        <v>3</v>
      </c>
      <c r="D16" s="14" t="s">
        <v>4</v>
      </c>
      <c r="E16" s="14"/>
      <c r="F16" s="14"/>
      <c r="G16" s="14"/>
      <c r="H16" s="14" t="s">
        <v>5</v>
      </c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</row>
    <row r="17" spans="1:61" ht="15" x14ac:dyDescent="0.25">
      <c r="A17" s="163"/>
      <c r="B17" s="163"/>
      <c r="C17" s="14" t="s">
        <v>6</v>
      </c>
      <c r="D17" s="14" t="s">
        <v>7</v>
      </c>
      <c r="E17" s="14"/>
      <c r="F17" s="14"/>
      <c r="G17" s="14"/>
      <c r="H17" s="14" t="s">
        <v>8</v>
      </c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</row>
    <row r="18" spans="1:61" ht="15" x14ac:dyDescent="0.25">
      <c r="A18" s="163"/>
      <c r="B18" s="163"/>
      <c r="C18" s="14"/>
      <c r="D18" s="14"/>
      <c r="E18" s="14"/>
      <c r="F18" s="14"/>
      <c r="G18" s="14"/>
      <c r="H18" s="14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</row>
    <row r="19" spans="1:61" ht="15" x14ac:dyDescent="0.25">
      <c r="A19" s="163"/>
      <c r="B19" s="163"/>
      <c r="C19" s="14"/>
      <c r="D19" s="14"/>
      <c r="E19" s="14"/>
      <c r="F19" s="14"/>
      <c r="G19" s="14"/>
      <c r="H19" s="14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</row>
    <row r="20" spans="1:61" ht="15" x14ac:dyDescent="0.25">
      <c r="A20" s="163"/>
      <c r="B20" s="163"/>
      <c r="C20" s="14"/>
      <c r="D20" s="14"/>
      <c r="E20" s="14"/>
      <c r="F20" s="14"/>
      <c r="G20" s="14"/>
      <c r="H20" s="14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</row>
    <row r="21" spans="1:61" x14ac:dyDescent="0.2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</row>
    <row r="22" spans="1:61" x14ac:dyDescent="0.2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</row>
    <row r="23" spans="1:61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</row>
    <row r="24" spans="1:61" x14ac:dyDescent="0.2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</row>
    <row r="25" spans="1:61" x14ac:dyDescent="0.2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</row>
    <row r="26" spans="1:61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</row>
    <row r="27" spans="1:6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</row>
    <row r="28" spans="1:6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</row>
    <row r="29" spans="1:6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</row>
    <row r="30" spans="1:6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</row>
    <row r="31" spans="1:6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</row>
    <row r="32" spans="1:6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</row>
    <row r="33" spans="1:6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</row>
    <row r="34" spans="1:6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</row>
    <row r="35" spans="1:6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</row>
    <row r="36" spans="1:6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</row>
    <row r="37" spans="1:6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</row>
    <row r="38" spans="1:6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</row>
    <row r="39" spans="1:6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</row>
    <row r="40" spans="1:6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</row>
    <row r="41" spans="1:6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</row>
    <row r="42" spans="1:6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</row>
    <row r="43" spans="1:6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</row>
    <row r="44" spans="1:6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</row>
    <row r="45" spans="1:6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</row>
    <row r="46" spans="1:6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</row>
    <row r="47" spans="1:6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</row>
    <row r="48" spans="1:6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</row>
    <row r="49" spans="1:25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</row>
    <row r="50" spans="1:25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AB26"/>
  <sheetViews>
    <sheetView showGridLines="0" workbookViewId="0">
      <pane xSplit="2" ySplit="6" topLeftCell="Q7" activePane="bottomRight" state="frozen"/>
      <selection pane="topRight" activeCell="B7" sqref="B7"/>
      <selection pane="bottomLeft" activeCell="B7" sqref="B7"/>
      <selection pane="bottomRight" activeCell="W19" sqref="W19"/>
    </sheetView>
  </sheetViews>
  <sheetFormatPr defaultColWidth="9.140625" defaultRowHeight="12.75" x14ac:dyDescent="0.2"/>
  <cols>
    <col min="1" max="1" width="9.140625" style="20"/>
    <col min="2" max="2" width="38.42578125" style="20" customWidth="1"/>
    <col min="3" max="3" width="18.140625" style="20" customWidth="1"/>
    <col min="4" max="6" width="13.28515625" style="20" bestFit="1" customWidth="1"/>
    <col min="7" max="7" width="13.28515625" style="20" customWidth="1"/>
    <col min="8" max="8" width="12.140625" style="20" customWidth="1"/>
    <col min="9" max="11" width="12.7109375" style="20" bestFit="1" customWidth="1"/>
    <col min="12" max="12" width="12.7109375" style="20" customWidth="1"/>
    <col min="13" max="16" width="12.7109375" style="20" bestFit="1" customWidth="1"/>
    <col min="17" max="17" width="12.7109375" style="20" customWidth="1"/>
    <col min="18" max="20" width="12.7109375" style="20" bestFit="1" customWidth="1"/>
    <col min="21" max="21" width="13" style="20" customWidth="1"/>
    <col min="22" max="22" width="9.140625" style="20"/>
    <col min="23" max="23" width="12.28515625" style="20" customWidth="1"/>
    <col min="24" max="25" width="9.140625" style="20"/>
    <col min="26" max="26" width="12.28515625" style="20" customWidth="1"/>
    <col min="27" max="27" width="11.5703125" style="89" customWidth="1"/>
    <col min="28" max="16384" width="9.140625" style="20"/>
  </cols>
  <sheetData>
    <row r="1" spans="1:28" x14ac:dyDescent="0.2">
      <c r="A1" s="162">
        <f>'2024 IR Data Book'!$A$5</f>
        <v>0.27228666339922669</v>
      </c>
    </row>
    <row r="2" spans="1:28" x14ac:dyDescent="0.2">
      <c r="A2" s="162"/>
    </row>
    <row r="3" spans="1:28" ht="15" x14ac:dyDescent="0.25">
      <c r="B3" s="70"/>
    </row>
    <row r="4" spans="1:28" x14ac:dyDescent="0.2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269" t="s">
        <v>21</v>
      </c>
      <c r="V4" s="269"/>
      <c r="W4" s="269" t="s">
        <v>21</v>
      </c>
      <c r="X4" s="269"/>
    </row>
    <row r="5" spans="1:28" ht="24" customHeight="1" x14ac:dyDescent="0.2">
      <c r="B5" s="134"/>
      <c r="C5" s="75" t="s">
        <v>22</v>
      </c>
      <c r="D5" s="75" t="s">
        <v>23</v>
      </c>
      <c r="E5" s="75" t="s">
        <v>24</v>
      </c>
      <c r="F5" s="75" t="s">
        <v>25</v>
      </c>
      <c r="G5" s="75">
        <v>2021</v>
      </c>
      <c r="H5" s="75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332</v>
      </c>
      <c r="T5" s="202" t="s">
        <v>342</v>
      </c>
      <c r="U5" s="75" t="s">
        <v>344</v>
      </c>
      <c r="V5" s="202" t="s">
        <v>38</v>
      </c>
      <c r="W5" s="267" t="s">
        <v>343</v>
      </c>
      <c r="X5" s="202" t="s">
        <v>38</v>
      </c>
    </row>
    <row r="6" spans="1:28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8" x14ac:dyDescent="0.2">
      <c r="B7" s="195" t="s">
        <v>202</v>
      </c>
      <c r="C7" s="184">
        <f>104585.74155785*('2024 IR Data Book'!$A$5)</f>
        <v>28477.302607920814</v>
      </c>
      <c r="D7" s="184">
        <f>108808.981524708*('2024 IR Data Book'!$A$5)</f>
        <v>29627.234527230841</v>
      </c>
      <c r="E7" s="184">
        <f>108445.010175879*('2024 IR Data Book'!$A$5)</f>
        <v>29528.129983085277</v>
      </c>
      <c r="F7" s="184">
        <f>113016.407797778*('2024 IR Data Book'!$A$5)</f>
        <v>30772.860588623316</v>
      </c>
      <c r="G7" s="184">
        <f>SUM(C7:F7)</f>
        <v>118405.52770686024</v>
      </c>
      <c r="H7" s="184">
        <f>112105.259668336*('2024 IR Data Book'!$A$5)</f>
        <v>30524.76710459511</v>
      </c>
      <c r="I7" s="184">
        <f>111756.154186905*('2024 IR Data Book'!$A$5)</f>
        <v>30429.710337881879</v>
      </c>
      <c r="J7" s="184">
        <f>110474.513920355*(('2024 IR Data Book'!$A$5))</f>
        <v>30080.736786024889</v>
      </c>
      <c r="K7" s="184">
        <f>(L7-H7-I7-J7)</f>
        <v>31441.315897898308</v>
      </c>
      <c r="L7" s="184">
        <f>'[11]Summary Per Product-22 Vs 21'!$M$5*3.6726*(('2024 IR Data Book'!$A$5))</f>
        <v>122476.53012640019</v>
      </c>
      <c r="M7" s="184">
        <f>107043.899568076*('2024 IR Data Book'!$A$5)</f>
        <v>29146.626250633337</v>
      </c>
      <c r="N7" s="184">
        <f>106216.528820156*('2024 IR Data Book'!$A$5)</f>
        <v>28921.344230288079</v>
      </c>
      <c r="O7" s="184">
        <f>104813.010850659*(((('2024 IR Data Book'!$A$5))))</f>
        <v>28539.185005352883</v>
      </c>
      <c r="P7" s="184">
        <f>'[12]Sum Per Produc-23 Vs 22 Express'!$W$5*3.6726*(((('2024 IR Data Book'!$A$5))))</f>
        <v>30183.962709052263</v>
      </c>
      <c r="Q7" s="184">
        <f>SUM(M7:P7)</f>
        <v>116791.11819532656</v>
      </c>
      <c r="R7" s="184">
        <f>'[13]Sum Per Produc-24 Vs 23 Express'!$W$5*3.6726*(((('2024 IR Data Book'!$A$5))))</f>
        <v>29026.66253037412</v>
      </c>
      <c r="S7" s="184">
        <f>'[14]Sum Per Produc-24 Vs 23 Express'!$W$5*3.6726*(((('2024 IR Data Book'!$A$5))))</f>
        <v>29317.370305348588</v>
      </c>
      <c r="T7" s="184">
        <f>'[15]Sum Per Produc-24 Vs 23 Express'!$W$5*3.6726*(((('2024 IR Data Book'!$A$5))))</f>
        <v>32215.177686603718</v>
      </c>
      <c r="U7" s="185">
        <f>T7-O7</f>
        <v>3675.9926812508347</v>
      </c>
      <c r="V7" s="186">
        <f>U7/O7</f>
        <v>0.12880510359918673</v>
      </c>
      <c r="W7" s="185">
        <f>(R7+S7+T7)-(M7+N7+O7)</f>
        <v>3952.0550360521302</v>
      </c>
      <c r="X7" s="186">
        <f>W7/(M7+N7+O7)</f>
        <v>4.5631969019909221E-2</v>
      </c>
      <c r="Z7" s="209"/>
      <c r="AB7" s="239"/>
    </row>
    <row r="8" spans="1:28" x14ac:dyDescent="0.2">
      <c r="B8" s="196" t="s">
        <v>205</v>
      </c>
      <c r="C8" s="187">
        <f>86553.9529170147*('2024 IR Data Book'!$A$5)</f>
        <v>23567.487043787696</v>
      </c>
      <c r="D8" s="187">
        <f>101894.161962373*('2024 IR Data Book'!$A$5)</f>
        <v>27744.421380594944</v>
      </c>
      <c r="E8" s="187">
        <f>94777.1994902576*('2024 IR Data Book'!$A$5)</f>
        <v>25806.567415525129</v>
      </c>
      <c r="F8" s="187">
        <f>109153.581456482*('2024 IR Data Book'!$A$5)</f>
        <v>29721.064492861187</v>
      </c>
      <c r="G8" s="187">
        <f>SUM(C8:F8)</f>
        <v>106839.54033276896</v>
      </c>
      <c r="H8" s="187">
        <f>98933.9658703533*('2024 IR Data Book'!$A$5)</f>
        <v>26938.399463691472</v>
      </c>
      <c r="I8" s="187">
        <f>83311.6154577578*('2024 IR Data Book'!$A$5)</f>
        <v>22684.641795392308</v>
      </c>
      <c r="J8" s="187">
        <f>(101858.873435182-91.1288848676697)*(('2024 IR Data Book'!$A$5))</f>
        <v>27709.999605269928</v>
      </c>
      <c r="K8" s="187">
        <f>(L8-H8-I8-J8)</f>
        <v>26348.519624113047</v>
      </c>
      <c r="L8" s="187">
        <f>'[11]Summary Per Product-22 Vs 21'!$M$9*3.6726*(('2024 IR Data Book'!$A$5))</f>
        <v>103681.56048846676</v>
      </c>
      <c r="M8" s="187">
        <f>90841.2760854907*('2024 IR Data Book'!$A$5)</f>
        <v>24734.867964246227</v>
      </c>
      <c r="N8" s="187">
        <f>89919.086671638*('2024 IR Data Book'!$A$5)</f>
        <v>24483.768085726188</v>
      </c>
      <c r="O8" s="187">
        <f>93161.5690100899*(((('2024 IR Data Book'!$A$5))))</f>
        <v>25366.652782794175</v>
      </c>
      <c r="P8" s="187">
        <f>'[12]Sum Per Produc-23 Vs 22 Express'!$W$9*3.6726*(((('2024 IR Data Book'!$A$5))))</f>
        <v>24430.264711285574</v>
      </c>
      <c r="Q8" s="187">
        <f>SUM(M8:P8)</f>
        <v>99015.553544052163</v>
      </c>
      <c r="R8" s="187">
        <f>'[13]Sum Per Produc-24 Vs 23 Express'!$W$9*3.6726*(((('2024 IR Data Book'!$A$5))))</f>
        <v>24580.089796379045</v>
      </c>
      <c r="S8" s="187">
        <f>'[14]Sum Per Produc-24 Vs 23 Express'!$W$9*3.6726*(((('2024 IR Data Book'!$A$5))))</f>
        <v>25952.982977230102</v>
      </c>
      <c r="T8" s="187">
        <f>'[15]Sum Per Produc-24 Vs 23 Express'!$W$9*3.6726*(((('2024 IR Data Book'!$A$5))))</f>
        <v>26589.202186518287</v>
      </c>
      <c r="U8" s="188">
        <f>T8-O8</f>
        <v>1222.5494037241115</v>
      </c>
      <c r="V8" s="189">
        <f>U8/O8</f>
        <v>4.8195140848592707E-2</v>
      </c>
      <c r="W8" s="188">
        <f>(R8+S8+T8)-(M8+N8+O8)</f>
        <v>2536.9861273608549</v>
      </c>
      <c r="X8" s="189">
        <f>W8/(M8+N8+O8)</f>
        <v>3.4014564628813422E-2</v>
      </c>
      <c r="Z8" s="209"/>
      <c r="AB8" s="239"/>
    </row>
    <row r="9" spans="1:28" x14ac:dyDescent="0.2">
      <c r="B9" s="195" t="s">
        <v>206</v>
      </c>
      <c r="C9" s="184">
        <f t="shared" ref="C9:I9" si="0">C7-C8</f>
        <v>4909.8155641331177</v>
      </c>
      <c r="D9" s="184">
        <f t="shared" si="0"/>
        <v>1882.8131466358973</v>
      </c>
      <c r="E9" s="184">
        <f t="shared" si="0"/>
        <v>3721.5625675601477</v>
      </c>
      <c r="F9" s="184">
        <f t="shared" si="0"/>
        <v>1051.796095762129</v>
      </c>
      <c r="G9" s="184">
        <f t="shared" si="0"/>
        <v>11565.987374091288</v>
      </c>
      <c r="H9" s="184">
        <f t="shared" si="0"/>
        <v>3586.3676409036379</v>
      </c>
      <c r="I9" s="184">
        <f t="shared" si="0"/>
        <v>7745.068542489571</v>
      </c>
      <c r="J9" s="184">
        <f t="shared" ref="J9:K9" si="1">J7-J8</f>
        <v>2370.7371807549607</v>
      </c>
      <c r="K9" s="184">
        <f t="shared" si="1"/>
        <v>5092.7962737852613</v>
      </c>
      <c r="L9" s="184">
        <f t="shared" ref="L9" si="2">L7-L8</f>
        <v>18794.969637933435</v>
      </c>
      <c r="M9" s="184">
        <f t="shared" ref="M9:N9" si="3">M7-M8</f>
        <v>4411.7582863871103</v>
      </c>
      <c r="N9" s="184">
        <f t="shared" si="3"/>
        <v>4437.5761445618919</v>
      </c>
      <c r="O9" s="184">
        <f t="shared" ref="O9:Q9" si="4">O7-O8</f>
        <v>3172.5322225587079</v>
      </c>
      <c r="P9" s="184">
        <f t="shared" si="4"/>
        <v>5753.6979977666888</v>
      </c>
      <c r="Q9" s="184">
        <f t="shared" si="4"/>
        <v>17775.564651274399</v>
      </c>
      <c r="R9" s="184">
        <f t="shared" ref="R9:S9" si="5">R7-R8</f>
        <v>4446.5727339950754</v>
      </c>
      <c r="S9" s="184">
        <f t="shared" si="5"/>
        <v>3364.387328118486</v>
      </c>
      <c r="T9" s="184">
        <f t="shared" ref="T9" si="6">T7-T8</f>
        <v>5625.9755000854311</v>
      </c>
      <c r="U9" s="197">
        <f>T9-O9</f>
        <v>2453.4432775267233</v>
      </c>
      <c r="V9" s="186">
        <f>U9/O9</f>
        <v>0.77333912011395567</v>
      </c>
      <c r="W9" s="197">
        <f>(R9+S9+T9)-(M9+N9+O9)</f>
        <v>1415.0689086912826</v>
      </c>
      <c r="X9" s="186">
        <f>W9/(M9+N9+O9)</f>
        <v>0.11770791920058415</v>
      </c>
      <c r="Z9" s="209"/>
      <c r="AB9" s="239"/>
    </row>
    <row r="10" spans="1:28" x14ac:dyDescent="0.2">
      <c r="B10" s="198" t="s">
        <v>207</v>
      </c>
      <c r="C10" s="190">
        <f t="shared" ref="C10:I10" si="7">C9/C7</f>
        <v>0.17241153882206098</v>
      </c>
      <c r="D10" s="190">
        <f t="shared" si="7"/>
        <v>6.3550080751052729E-2</v>
      </c>
      <c r="E10" s="190">
        <f t="shared" si="7"/>
        <v>0.12603448202415751</v>
      </c>
      <c r="F10" s="190">
        <f t="shared" si="7"/>
        <v>3.4179341005138031E-2</v>
      </c>
      <c r="G10" s="190">
        <f t="shared" si="7"/>
        <v>9.7681143761510145E-2</v>
      </c>
      <c r="H10" s="190">
        <f t="shared" si="7"/>
        <v>0.11749041781759431</v>
      </c>
      <c r="I10" s="190">
        <f t="shared" si="7"/>
        <v>0.25452324246569485</v>
      </c>
      <c r="J10" s="190">
        <f t="shared" ref="J10:K10" si="8">J9/J7</f>
        <v>7.8812470506253479E-2</v>
      </c>
      <c r="K10" s="190">
        <f t="shared" si="8"/>
        <v>0.16197783484391914</v>
      </c>
      <c r="L10" s="190">
        <f t="shared" ref="L10" si="9">L9/L7</f>
        <v>0.15345772466395274</v>
      </c>
      <c r="M10" s="190">
        <f t="shared" ref="M10:N10" si="10">M9/M7</f>
        <v>0.15136428650267011</v>
      </c>
      <c r="N10" s="190">
        <f t="shared" si="10"/>
        <v>0.15343602666692821</v>
      </c>
      <c r="O10" s="190">
        <f t="shared" ref="O10:Q10" si="11">O9/O7</f>
        <v>0.11116407921121993</v>
      </c>
      <c r="P10" s="190">
        <f t="shared" si="11"/>
        <v>0.19062102790238133</v>
      </c>
      <c r="Q10" s="190">
        <f t="shared" si="11"/>
        <v>0.15219962721433808</v>
      </c>
      <c r="R10" s="190">
        <f t="shared" ref="R10:S10" si="12">R9/R7</f>
        <v>0.15318925244478543</v>
      </c>
      <c r="S10" s="190">
        <f t="shared" si="12"/>
        <v>0.1147574728932866</v>
      </c>
      <c r="T10" s="190">
        <f t="shared" ref="T10" si="13">T9/T7</f>
        <v>0.17463741950505904</v>
      </c>
      <c r="U10" s="190"/>
      <c r="V10" s="190"/>
      <c r="W10" s="190"/>
      <c r="X10" s="190"/>
      <c r="Z10" s="209"/>
      <c r="AB10" s="239"/>
    </row>
    <row r="11" spans="1:28" x14ac:dyDescent="0.2">
      <c r="B11" s="199" t="s">
        <v>208</v>
      </c>
      <c r="C11" s="191">
        <f>14151.3708617567*('2024 IR Data Book'!$A$5)</f>
        <v>3853.2295544727713</v>
      </c>
      <c r="D11" s="191">
        <f>12503.673217457*('2024 IR Data Book'!$A$5)</f>
        <v>3404.58346061564</v>
      </c>
      <c r="E11" s="191">
        <f>13033.4885961757*('2024 IR Data Book'!$A$5)</f>
        <v>3548.8451223045527</v>
      </c>
      <c r="F11" s="191">
        <f>13511.0129796056*('2024 IR Data Book'!$A$5)</f>
        <v>3678.868643360453</v>
      </c>
      <c r="G11" s="191">
        <f>SUM(C11:F11)</f>
        <v>14485.526780753416</v>
      </c>
      <c r="H11" s="191">
        <f>12489.5278782531*('2024 IR Data Book'!$A$5)</f>
        <v>3400.7318734011601</v>
      </c>
      <c r="I11" s="191">
        <f>17395.7046626744*('2024 IR Data Book'!$A$5)</f>
        <v>4736.6183800779827</v>
      </c>
      <c r="J11" s="191">
        <f>14720.6013629062*(('2024 IR Data Book'!$A$5))</f>
        <v>4008.223428335838</v>
      </c>
      <c r="K11" s="191">
        <f>(L11-H11-I11-J11)</f>
        <v>3946.9384126968584</v>
      </c>
      <c r="L11" s="191">
        <f>'[11]Summary Per Product-22 Vs 21'!$M$15*3.6726*(('2024 IR Data Book'!$A$5))</f>
        <v>16092.51209451184</v>
      </c>
      <c r="M11" s="191">
        <f>14148.1474994704*('2024 IR Data Book'!$A$5)</f>
        <v>3852.3518759109079</v>
      </c>
      <c r="N11" s="191">
        <f>14570.8481606643*('2024 IR Data Book'!$A$5)</f>
        <v>3967.4476285640417</v>
      </c>
      <c r="O11" s="191">
        <f>14320.3227988616*(((('2024 IR Data Book'!$A$5))))</f>
        <v>3899.2329137019005</v>
      </c>
      <c r="P11" s="191">
        <f>'[12]Sum Per Produc-23 Vs 22 Express'!$W$15*3.6726*(((('2024 IR Data Book'!$A$5))))</f>
        <v>3937.5354285816152</v>
      </c>
      <c r="Q11" s="191">
        <f>SUM(M11:P11)</f>
        <v>15656.567846758466</v>
      </c>
      <c r="R11" s="191">
        <f>'[13]Sum Per Produc-24 Vs 23 Express'!$W$15*3.6726*(((('2024 IR Data Book'!$A$5))))</f>
        <v>4171.8900745268202</v>
      </c>
      <c r="S11" s="191">
        <f>'[14]Sum Per Produc-24 Vs 23 Express'!$W$15*3.6726*(((('2024 IR Data Book'!$A$5))))</f>
        <v>3816.6351064377236</v>
      </c>
      <c r="T11" s="191">
        <f>'[15]Sum Per Produc-24 Vs 23 Express'!$W$15*3.6726*(((('2024 IR Data Book'!$A$5))))</f>
        <v>4009.5717229536535</v>
      </c>
      <c r="U11" s="192">
        <f>T11-O11</f>
        <v>110.33880925175299</v>
      </c>
      <c r="V11" s="189">
        <f>U11/O11</f>
        <v>2.8297568186815034E-2</v>
      </c>
      <c r="W11" s="192">
        <f>(R11+S11+T11)-(M11+N11+O11)</f>
        <v>279.06448574134629</v>
      </c>
      <c r="X11" s="189">
        <f>W11/(M11+N11+O11)</f>
        <v>2.3812928899189855E-2</v>
      </c>
      <c r="Z11" s="209"/>
      <c r="AB11" s="239"/>
    </row>
    <row r="12" spans="1:28" x14ac:dyDescent="0.2">
      <c r="B12" s="200" t="s">
        <v>209</v>
      </c>
      <c r="C12" s="193">
        <f>5702.3992194531*('2024 IR Data Book'!$A$5)</f>
        <v>1552.6872568352394</v>
      </c>
      <c r="D12" s="193">
        <f>-5088.39048845237*('2024 IR Data Book'!$A$5)</f>
        <v>-1385.5008681730571</v>
      </c>
      <c r="E12" s="193">
        <f>5816.40331765882*('2024 IR Data Book'!$A$5)</f>
        <v>1583.7290523495126</v>
      </c>
      <c r="F12" s="193">
        <f>15858.7549284546*('2024 IR Data Book'!$A$5)</f>
        <v>4318.1274651349449</v>
      </c>
      <c r="G12" s="193">
        <f>SUM(C12:F12)</f>
        <v>6069.0429061466402</v>
      </c>
      <c r="H12" s="193">
        <f>5792.25311649132*('2024 IR Data Book'!$A$5)</f>
        <v>1577.1532746531939</v>
      </c>
      <c r="I12" s="193">
        <f>5179.84324275896*('2024 IR Data Book'!$A$5)</f>
        <v>1410.4022335018676</v>
      </c>
      <c r="J12" s="193">
        <f>(-6206.96170339434--92.3753120947572)*(('2024 IR Data Book'!$A$5))</f>
        <v>-1664.9203265532815</v>
      </c>
      <c r="K12" s="193">
        <f>(L12-H12-I12-J12)</f>
        <v>1168.0300364999225</v>
      </c>
      <c r="L12" s="193">
        <f>'[11]Summary Per Product-22 Vs 21'!$M$21*3.6726*(('2024 IR Data Book'!$A$5))</f>
        <v>2490.6652181017025</v>
      </c>
      <c r="M12" s="193">
        <f>2150.14946247002*('2024 IR Data Book'!$A$5)</f>
        <v>585.45702294560249</v>
      </c>
      <c r="N12" s="193">
        <f>1381.98113750065*('2024 IR Data Book'!$A$5)</f>
        <v>376.29503281071993</v>
      </c>
      <c r="O12" s="193">
        <f>-3093.07301730344*(((('2024 IR Data Book'!$A$5))))</f>
        <v>-842.20253153173223</v>
      </c>
      <c r="P12" s="193">
        <f>'[12]Sum Per Produc-23 Vs 22 Express'!$W$18*3.6726*(((('2024 IR Data Book'!$A$5))))</f>
        <v>4637.8462319701903</v>
      </c>
      <c r="Q12" s="193">
        <f>SUM(M12:P12)</f>
        <v>4757.3957561947809</v>
      </c>
      <c r="R12" s="193">
        <f>'[13]Sum Per Produc-24 Vs 23 Express'!$W$18*3.6726*(((('2024 IR Data Book'!$A$5))))</f>
        <v>-354.27545927675601</v>
      </c>
      <c r="S12" s="193">
        <f>'[14]Sum Per Produc-24 Vs 23 Express'!$W$18*3.6726*(((('2024 IR Data Book'!$A$5))))</f>
        <v>-405.10530498022371</v>
      </c>
      <c r="T12" s="193">
        <f>'[15]Sum Per Produc-24 Vs 23 Express'!$W$18*3.6726*(((('2024 IR Data Book'!$A$5))))</f>
        <v>1789.4492625596879</v>
      </c>
      <c r="U12" s="193">
        <f>T12-O12</f>
        <v>2631.65179409142</v>
      </c>
      <c r="V12" s="194">
        <f>U12/O12</f>
        <v>-3.1247255803246961</v>
      </c>
      <c r="W12" s="193">
        <f>(R12+S12+T12)-(M12+N12+O12)</f>
        <v>910.51897407811794</v>
      </c>
      <c r="X12" s="194">
        <f>W12/(M12+N12+O12)</f>
        <v>7.6162492488684697</v>
      </c>
      <c r="Z12" s="209"/>
      <c r="AB12" s="239"/>
    </row>
    <row r="13" spans="1:28" x14ac:dyDescent="0.2">
      <c r="B13" s="201" t="s">
        <v>210</v>
      </c>
      <c r="C13" s="190">
        <f t="shared" ref="C13:I13" si="14">C12/C7</f>
        <v>5.4523677267220086E-2</v>
      </c>
      <c r="D13" s="190">
        <f t="shared" si="14"/>
        <v>-4.6764434490152031E-2</v>
      </c>
      <c r="E13" s="190">
        <f t="shared" si="14"/>
        <v>5.3634586858589649E-2</v>
      </c>
      <c r="F13" s="190">
        <f t="shared" si="14"/>
        <v>0.14032258888311966</v>
      </c>
      <c r="G13" s="190">
        <f t="shared" si="14"/>
        <v>5.1256415335371279E-2</v>
      </c>
      <c r="H13" s="190">
        <f t="shared" si="14"/>
        <v>5.1667987154462969E-2</v>
      </c>
      <c r="I13" s="190">
        <f t="shared" si="14"/>
        <v>4.634951229706781E-2</v>
      </c>
      <c r="J13" s="190">
        <f t="shared" ref="J13:K13" si="15">J12/J7</f>
        <v>-5.5348389183298909E-2</v>
      </c>
      <c r="K13" s="190">
        <f t="shared" si="15"/>
        <v>3.7149527719925975E-2</v>
      </c>
      <c r="L13" s="190">
        <f t="shared" ref="L13" si="16">L12/L7</f>
        <v>2.0335857127330815E-2</v>
      </c>
      <c r="M13" s="190">
        <f t="shared" ref="M13:N13" si="17">M12/M7</f>
        <v>2.0086613727133544E-2</v>
      </c>
      <c r="N13" s="190">
        <f t="shared" si="17"/>
        <v>1.3010980050389302E-2</v>
      </c>
      <c r="O13" s="190">
        <f t="shared" ref="O13:Q13" si="18">O12/O7</f>
        <v>-2.95103918130026E-2</v>
      </c>
      <c r="P13" s="190">
        <f t="shared" si="18"/>
        <v>0.15365266239807823</v>
      </c>
      <c r="Q13" s="190">
        <f t="shared" si="18"/>
        <v>4.0734225596147686E-2</v>
      </c>
      <c r="R13" s="190">
        <f t="shared" ref="R13:S13" si="19">R12/R7</f>
        <v>-1.2205173740041061E-2</v>
      </c>
      <c r="S13" s="190">
        <f t="shared" si="19"/>
        <v>-1.3817927759582084E-2</v>
      </c>
      <c r="T13" s="190">
        <f t="shared" ref="T13" si="20">T12/T7</f>
        <v>5.5546776118009997E-2</v>
      </c>
      <c r="U13" s="190"/>
      <c r="V13" s="190"/>
      <c r="W13" s="190"/>
      <c r="X13" s="190"/>
      <c r="Z13" s="209"/>
      <c r="AB13" s="239"/>
    </row>
    <row r="14" spans="1:28" x14ac:dyDescent="0.2">
      <c r="B14" s="200" t="s">
        <v>211</v>
      </c>
      <c r="C14" s="193">
        <f>25987.4230939523*('2024 IR Data Book'!$A$5)</f>
        <v>7076.02872459628</v>
      </c>
      <c r="D14" s="193">
        <f>17185.0201260158*('2024 IR Data Book'!$A$5)</f>
        <v>4679.2517905614004</v>
      </c>
      <c r="E14" s="193">
        <f>28918.9802275479*('2024 IR Data Book'!$A$5)</f>
        <v>7874.2526350672279</v>
      </c>
      <c r="F14" s="193">
        <f>38201.4024157444*('2024 IR Data Book'!$A$5)</f>
        <v>10401.732400954201</v>
      </c>
      <c r="G14" s="193">
        <f>SUM(C14:F14)</f>
        <v>30031.265551179109</v>
      </c>
      <c r="H14" s="193">
        <f>28762.0029383276*('2024 IR Data Book'!$A$5)</f>
        <v>7831.5098127559768</v>
      </c>
      <c r="I14" s="193">
        <f>26975.4387801771*('2024 IR Data Book'!$A$5)</f>
        <v>7345.0522191845284</v>
      </c>
      <c r="J14" s="193">
        <f>(14985.8032363457+92.0501665966851)*(('2024 IR Data Book'!$A$5))</f>
        <v>4105.4983943098587</v>
      </c>
      <c r="K14" s="193">
        <f>(L14-H14-I14-J14)</f>
        <v>7184.9622951411029</v>
      </c>
      <c r="L14" s="193">
        <f>'[11]Summary Per Product-22 Vs 21'!$M$31*3.6726*(('2024 IR Data Book'!$A$5))</f>
        <v>26467.022721391466</v>
      </c>
      <c r="M14" s="193">
        <f>24888.5034405447*('2024 IR Data Book'!$A$5)</f>
        <v>6776.8075588260899</v>
      </c>
      <c r="N14" s="193">
        <f>23769.0877004912*('2024 IR Data Book'!$A$5)</f>
        <v>6472.0055820103462</v>
      </c>
      <c r="O14" s="193">
        <f>19534.3446185946*(((('2024 IR Data Book'!$A$5))))</f>
        <v>5318.9415178877634</v>
      </c>
      <c r="P14" s="193">
        <f>'[12]Sum Per Produc-23 Vs 22 Express'!$W$22*3.6726*(((('2024 IR Data Book'!$A$5))))</f>
        <v>10896.855818032403</v>
      </c>
      <c r="Q14" s="193">
        <f>SUM(M14:P14)</f>
        <v>29464.610476756603</v>
      </c>
      <c r="R14" s="193">
        <f>'[13]Sum Per Produc-24 Vs 23 Express'!$W$22*3.6726*(((('2024 IR Data Book'!$A$5))))</f>
        <v>5891.2030876335975</v>
      </c>
      <c r="S14" s="193">
        <f>'[14]Sum Per Produc-24 Vs 23 Express'!$W$22*3.6726*(((('2024 IR Data Book'!$A$5))))</f>
        <v>5845.7663060461427</v>
      </c>
      <c r="T14" s="193">
        <f>'[15]Sum Per Produc-24 Vs 23 Express'!$W$22*3.6726*(((('2024 IR Data Book'!$A$5))))</f>
        <v>7949.1678116571602</v>
      </c>
      <c r="U14" s="193">
        <f>T14-O14</f>
        <v>2630.2262937693968</v>
      </c>
      <c r="V14" s="194">
        <f>U14/O14</f>
        <v>0.49450182614790272</v>
      </c>
      <c r="W14" s="193">
        <f>(R14+S14+T14)-(M14+N14+O14)</f>
        <v>1118.3825466127018</v>
      </c>
      <c r="X14" s="194">
        <f>W14/(M14+N14+O14)</f>
        <v>6.0232514225257786E-2</v>
      </c>
      <c r="Z14" s="209"/>
      <c r="AB14" s="239"/>
    </row>
    <row r="15" spans="1:28" x14ac:dyDescent="0.2">
      <c r="B15" s="201" t="s">
        <v>212</v>
      </c>
      <c r="C15" s="190">
        <f t="shared" ref="C15:I15" si="21">C14/C7</f>
        <v>0.24847959871831818</v>
      </c>
      <c r="D15" s="190">
        <f t="shared" si="21"/>
        <v>0.15793751476401313</v>
      </c>
      <c r="E15" s="190">
        <f t="shared" si="21"/>
        <v>0.26666953307161234</v>
      </c>
      <c r="F15" s="190">
        <f t="shared" si="21"/>
        <v>0.33801642752704331</v>
      </c>
      <c r="G15" s="190">
        <f t="shared" si="21"/>
        <v>0.25363060435428592</v>
      </c>
      <c r="H15" s="190">
        <f t="shared" si="21"/>
        <v>0.25656247551114136</v>
      </c>
      <c r="I15" s="190">
        <f t="shared" si="21"/>
        <v>0.24137765813829287</v>
      </c>
      <c r="J15" s="190">
        <f t="shared" ref="J15:K15" si="22">J14/J7</f>
        <v>0.1364826408180673</v>
      </c>
      <c r="K15" s="190">
        <f t="shared" si="22"/>
        <v>0.22851977056155531</v>
      </c>
      <c r="L15" s="190">
        <f t="shared" ref="L15" si="23">L14/L7</f>
        <v>0.21609873086767356</v>
      </c>
      <c r="M15" s="190">
        <f t="shared" ref="M15:N15" si="24">M14/M7</f>
        <v>0.23250744359062259</v>
      </c>
      <c r="N15" s="190">
        <f t="shared" si="24"/>
        <v>0.22377955638840927</v>
      </c>
      <c r="O15" s="190">
        <f t="shared" ref="O15:Q15" si="25">O14/O7</f>
        <v>0.1863732799969631</v>
      </c>
      <c r="P15" s="190">
        <f t="shared" si="25"/>
        <v>0.36101475220695273</v>
      </c>
      <c r="Q15" s="190">
        <f t="shared" si="25"/>
        <v>0.25228468510318314</v>
      </c>
      <c r="R15" s="190">
        <f t="shared" ref="R15:S15" si="26">R14/R7</f>
        <v>0.20295833465073418</v>
      </c>
      <c r="S15" s="190">
        <f t="shared" si="26"/>
        <v>0.19939599783885309</v>
      </c>
      <c r="T15" s="190">
        <f t="shared" ref="T15" si="27">T14/T7</f>
        <v>0.24675225724310448</v>
      </c>
    </row>
    <row r="19" spans="3:5" x14ac:dyDescent="0.2">
      <c r="E19" s="28"/>
    </row>
    <row r="21" spans="3:5" x14ac:dyDescent="0.2">
      <c r="E21" s="28"/>
    </row>
    <row r="22" spans="3:5" x14ac:dyDescent="0.2">
      <c r="C22" s="28"/>
    </row>
    <row r="26" spans="3:5" x14ac:dyDescent="0.2">
      <c r="E26" s="239"/>
    </row>
  </sheetData>
  <mergeCells count="2">
    <mergeCell ref="U4:V4"/>
    <mergeCell ref="W4:X4"/>
  </mergeCells>
  <pageMargins left="0.7" right="0.7" top="0.75" bottom="0.75" header="0.3" footer="0.3"/>
  <pageSetup paperSize="9" orientation="portrait" r:id="rId1"/>
  <ignoredErrors>
    <ignoredError sqref="G13 Q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AA266"/>
  <sheetViews>
    <sheetView showGridLines="0" zoomScaleNormal="100" workbookViewId="0">
      <pane xSplit="2" ySplit="7" topLeftCell="J10" activePane="bottomRight" state="frozen"/>
      <selection pane="topRight" activeCell="B7" sqref="B7"/>
      <selection pane="bottomLeft" activeCell="B7" sqref="B7"/>
      <selection pane="bottomRight" activeCell="N209" sqref="N209"/>
    </sheetView>
  </sheetViews>
  <sheetFormatPr defaultColWidth="9.140625" defaultRowHeight="12.75" x14ac:dyDescent="0.2"/>
  <cols>
    <col min="1" max="1" width="3.28515625" style="20" customWidth="1"/>
    <col min="2" max="2" width="37.28515625" style="20" bestFit="1" customWidth="1"/>
    <col min="3" max="3" width="15" style="20" customWidth="1"/>
    <col min="4" max="4" width="8.5703125" style="20" bestFit="1" customWidth="1"/>
    <col min="5" max="5" width="13.5703125" style="20" bestFit="1" customWidth="1"/>
    <col min="6" max="6" width="17.42578125" style="20" bestFit="1" customWidth="1"/>
    <col min="7" max="7" width="10.5703125" style="28" bestFit="1" customWidth="1"/>
    <col min="8" max="8" width="9.7109375" style="20" customWidth="1"/>
    <col min="9" max="9" width="9.28515625" style="20" bestFit="1" customWidth="1"/>
    <col min="10" max="10" width="9.28515625" style="20" customWidth="1"/>
    <col min="11" max="11" width="37.28515625" style="20" customWidth="1"/>
    <col min="12" max="12" width="15" style="20" customWidth="1"/>
    <col min="13" max="13" width="7.28515625" style="20" customWidth="1"/>
    <col min="14" max="14" width="13.5703125" style="20" bestFit="1" customWidth="1"/>
    <col min="15" max="15" width="11" style="20" customWidth="1"/>
    <col min="16" max="16" width="10.5703125" style="28" customWidth="1"/>
    <col min="17" max="17" width="11" style="20" customWidth="1"/>
    <col min="18" max="21" width="9.140625" style="20"/>
    <col min="22" max="22" width="9.140625" style="209"/>
    <col min="23" max="16384" width="9.140625" style="20"/>
  </cols>
  <sheetData>
    <row r="1" spans="1:27" x14ac:dyDescent="0.2">
      <c r="A1" s="162">
        <f>'2024 IR Data Book'!$A$5</f>
        <v>0.27228666339922669</v>
      </c>
    </row>
    <row r="2" spans="1:27" x14ac:dyDescent="0.2">
      <c r="B2" s="71" t="s">
        <v>232</v>
      </c>
      <c r="C2" s="2"/>
      <c r="I2" s="151"/>
      <c r="K2" s="71" t="s">
        <v>232</v>
      </c>
      <c r="L2" s="2"/>
    </row>
    <row r="3" spans="1:27" x14ac:dyDescent="0.2">
      <c r="B3" s="58" t="s">
        <v>346</v>
      </c>
      <c r="G3" s="211"/>
      <c r="I3" s="151"/>
      <c r="K3" s="58" t="s">
        <v>349</v>
      </c>
    </row>
    <row r="4" spans="1:27" x14ac:dyDescent="0.2">
      <c r="B4" s="50" t="s">
        <v>233</v>
      </c>
      <c r="I4" s="151"/>
      <c r="K4" s="50" t="s">
        <v>234</v>
      </c>
    </row>
    <row r="5" spans="1:27" x14ac:dyDescent="0.2">
      <c r="C5" s="150" t="s">
        <v>235</v>
      </c>
      <c r="D5" s="135"/>
      <c r="E5" s="150" t="s">
        <v>235</v>
      </c>
      <c r="I5" s="151"/>
      <c r="L5" s="150" t="s">
        <v>235</v>
      </c>
      <c r="M5" s="135"/>
      <c r="N5" s="150" t="s">
        <v>235</v>
      </c>
    </row>
    <row r="6" spans="1:27" x14ac:dyDescent="0.2">
      <c r="B6" s="136"/>
      <c r="C6" s="150" t="s">
        <v>345</v>
      </c>
      <c r="D6" s="135"/>
      <c r="E6" s="150" t="s">
        <v>86</v>
      </c>
      <c r="G6" s="170" t="s">
        <v>236</v>
      </c>
      <c r="H6" s="150" t="s">
        <v>38</v>
      </c>
      <c r="I6" s="151"/>
      <c r="K6" s="136"/>
      <c r="L6" s="150" t="s">
        <v>348</v>
      </c>
      <c r="M6" s="135"/>
      <c r="N6" s="150" t="s">
        <v>347</v>
      </c>
      <c r="P6" s="170" t="s">
        <v>236</v>
      </c>
      <c r="Q6" s="150" t="s">
        <v>38</v>
      </c>
    </row>
    <row r="7" spans="1:27" ht="6.75" customHeight="1" x14ac:dyDescent="0.2">
      <c r="H7" s="137"/>
      <c r="I7" s="151"/>
      <c r="Q7" s="137"/>
    </row>
    <row r="8" spans="1:27" x14ac:dyDescent="0.2">
      <c r="B8" s="20" t="s">
        <v>237</v>
      </c>
      <c r="C8" s="86">
        <f>'[17]Q3''24 Vs Q3''23 &amp; Bud'!$C$8*3.6726*(('2024 IR Data Book'!$A$5))</f>
        <v>23186.604992651912</v>
      </c>
      <c r="D8" s="138">
        <f>C8/$C$14</f>
        <v>0.38295801853505712</v>
      </c>
      <c r="E8" s="86">
        <f>'[17]Q3''24 Vs Q3''23 &amp; Bud'!$D$8*3.6726*(('2024 IR Data Book'!$A$5))</f>
        <v>11790.946317802005</v>
      </c>
      <c r="F8" s="138">
        <f>E8/$E$14</f>
        <v>0.25928633339664897</v>
      </c>
      <c r="G8" s="140">
        <f>C8-E8</f>
        <v>11395.658674849907</v>
      </c>
      <c r="H8" s="139">
        <f>(C8/E8)-1</f>
        <v>0.96647532502499045</v>
      </c>
      <c r="I8" s="151"/>
      <c r="K8" s="20" t="s">
        <v>237</v>
      </c>
      <c r="L8" s="86">
        <f>'[17]YTD''24 Vs YTD''23 &amp; Bud'!$C$8*3.6726*(('2024 IR Data Book'!$A$5))</f>
        <v>96149.741461704805</v>
      </c>
      <c r="M8" s="138">
        <f>L8/$L$14</f>
        <v>0.47056730542740421</v>
      </c>
      <c r="N8" s="86">
        <f>'[17]YTD''24 Vs YTD''23 &amp; Bud'!$D$8*3.6726*(('2024 IR Data Book'!$A$5))</f>
        <v>36050.358249257552</v>
      </c>
      <c r="O8" s="138">
        <f>N8/$N$14</f>
        <v>0.25918969372244816</v>
      </c>
      <c r="P8" s="140">
        <f>L8-N8</f>
        <v>60099.383212447254</v>
      </c>
      <c r="Q8" s="139">
        <f>(L8/N8)-1</f>
        <v>1.6670953114227371</v>
      </c>
      <c r="U8" s="28"/>
      <c r="W8" s="28"/>
      <c r="X8" s="28"/>
      <c r="Y8" s="28"/>
      <c r="Z8" s="28"/>
      <c r="AA8" s="28"/>
    </row>
    <row r="9" spans="1:27" x14ac:dyDescent="0.2">
      <c r="B9" s="20" t="s">
        <v>238</v>
      </c>
      <c r="C9" s="86">
        <f>'[17]Q3''24 Vs Q3''23 &amp; Bud'!$C$9*3.6726*(('2024 IR Data Book'!$A$5))</f>
        <v>10409.504829334959</v>
      </c>
      <c r="D9" s="138">
        <f>C9/$C$14</f>
        <v>0.17192699598050507</v>
      </c>
      <c r="E9" s="86">
        <f>'[17]Q3''24 Vs Q3''23 &amp; Bud'!$D$9*3.6726*(('2024 IR Data Book'!$A$5))</f>
        <v>11446.686467397172</v>
      </c>
      <c r="F9" s="138">
        <f>E9/$E$14</f>
        <v>0.25171595931968621</v>
      </c>
      <c r="G9" s="140">
        <f t="shared" ref="G9:G12" si="0">C9-E9</f>
        <v>-1037.1816380622131</v>
      </c>
      <c r="H9" s="139">
        <f>(C9/E9)-1</f>
        <v>-9.0609770872675521E-2</v>
      </c>
      <c r="I9" s="151"/>
      <c r="K9" s="20" t="s">
        <v>238</v>
      </c>
      <c r="L9" s="86">
        <f>'[17]YTD''24 Vs YTD''23 &amp; Bud'!$C$9*3.6726*(('2024 IR Data Book'!$A$5))</f>
        <v>30351.440123173914</v>
      </c>
      <c r="M9" s="138">
        <f t="shared" ref="M9:M12" si="1">L9/$L$14</f>
        <v>0.14854325323684456</v>
      </c>
      <c r="N9" s="86">
        <f>'[17]YTD''24 Vs YTD''23 &amp; Bud'!$D$9*3.6726*(('2024 IR Data Book'!$A$5))</f>
        <v>34176.888143868397</v>
      </c>
      <c r="O9" s="138">
        <f t="shared" ref="O9:O12" si="2">N9/$N$14</f>
        <v>0.24572008713888591</v>
      </c>
      <c r="P9" s="140">
        <f t="shared" ref="P9:P12" si="3">L9-N9</f>
        <v>-3825.4480206944827</v>
      </c>
      <c r="Q9" s="139">
        <f>(L9/N9)-1</f>
        <v>-0.11193084650045293</v>
      </c>
      <c r="U9" s="28"/>
      <c r="W9" s="28"/>
      <c r="X9" s="28"/>
      <c r="Y9" s="28"/>
      <c r="Z9" s="28"/>
    </row>
    <row r="10" spans="1:27" x14ac:dyDescent="0.2">
      <c r="B10" s="20" t="s">
        <v>239</v>
      </c>
      <c r="C10" s="86">
        <f>'[17]Q3''24 Vs Q3''23 &amp; Bud'!$C$10*3.6726*(('2024 IR Data Book'!$A$5))</f>
        <v>19516.424507542964</v>
      </c>
      <c r="D10" s="138">
        <f>C10/$C$14</f>
        <v>0.32234004334253613</v>
      </c>
      <c r="E10" s="86">
        <f>'[17]Q3''24 Vs Q3''23 &amp; Bud'!$D$10*3.6726*(('2024 IR Data Book'!$A$5))</f>
        <v>15243.268254529934</v>
      </c>
      <c r="F10" s="138">
        <f>E10/$E$14</f>
        <v>0.33520389527440242</v>
      </c>
      <c r="G10" s="81">
        <f t="shared" si="0"/>
        <v>4273.1562530130304</v>
      </c>
      <c r="H10" s="82">
        <f>(C10/E10)-1</f>
        <v>0.28033071265692322</v>
      </c>
      <c r="I10" s="151"/>
      <c r="K10" s="20" t="s">
        <v>239</v>
      </c>
      <c r="L10" s="86">
        <f>'[17]YTD''24 Vs YTD''23 &amp; Bud'!$C$10*3.6726*(('2024 IR Data Book'!$A$5))</f>
        <v>57322.309515608162</v>
      </c>
      <c r="M10" s="138">
        <f t="shared" si="1"/>
        <v>0.28054162517305137</v>
      </c>
      <c r="N10" s="86">
        <f>'[17]YTD''24 Vs YTD''23 &amp; Bud'!$D$10*3.6726*(('2024 IR Data Book'!$A$5))</f>
        <v>47785.271982665254</v>
      </c>
      <c r="O10" s="138">
        <f t="shared" si="2"/>
        <v>0.34355969291611593</v>
      </c>
      <c r="P10" s="81">
        <f t="shared" si="3"/>
        <v>9537.037532942908</v>
      </c>
      <c r="Q10" s="82">
        <f>(L10/N10)-1</f>
        <v>0.19958110809545238</v>
      </c>
      <c r="U10" s="28"/>
      <c r="W10" s="28"/>
      <c r="X10" s="28"/>
      <c r="Y10" s="28"/>
      <c r="Z10" s="28"/>
    </row>
    <row r="11" spans="1:27" x14ac:dyDescent="0.2">
      <c r="B11" s="20" t="s">
        <v>240</v>
      </c>
      <c r="C11" s="86">
        <f>'[17]Q3''24 Vs Q3''23 &amp; Bud'!$C$11*3.6726*(('2024 IR Data Book'!$A$5))</f>
        <v>6121.1818554586189</v>
      </c>
      <c r="D11" s="138">
        <f>C11/$C$14</f>
        <v>0.10109956482210594</v>
      </c>
      <c r="E11" s="86">
        <f>'[17]Q3''24 Vs Q3''23 &amp; Bud'!$D$11*3.6726*(('2024 IR Data Book'!$A$5))</f>
        <v>5661.5044558000754</v>
      </c>
      <c r="F11" s="138">
        <f>E11/$E$14</f>
        <v>0.12449812697704135</v>
      </c>
      <c r="G11" s="140">
        <f t="shared" si="0"/>
        <v>459.67739965854344</v>
      </c>
      <c r="H11" s="139">
        <f>(C11/E11)-1</f>
        <v>8.1193506646032088E-2</v>
      </c>
      <c r="I11" s="151"/>
      <c r="K11" s="20" t="s">
        <v>240</v>
      </c>
      <c r="L11" s="86">
        <f>'[17]YTD''24 Vs YTD''23 &amp; Bud'!$C$11*3.6726*(('2024 IR Data Book'!$A$5))</f>
        <v>17070.614558270543</v>
      </c>
      <c r="M11" s="138">
        <f t="shared" si="1"/>
        <v>8.3545446639339924E-2</v>
      </c>
      <c r="N11" s="86">
        <f>'[17]YTD''24 Vs YTD''23 &amp; Bud'!$D$11*3.6726*(('2024 IR Data Book'!$A$5))</f>
        <v>17862.129519880466</v>
      </c>
      <c r="O11" s="138">
        <f t="shared" si="2"/>
        <v>0.12842257620515782</v>
      </c>
      <c r="P11" s="140">
        <f t="shared" si="3"/>
        <v>-791.51496160992247</v>
      </c>
      <c r="Q11" s="139">
        <f>(L11/N11)-1</f>
        <v>-4.4312463456777085E-2</v>
      </c>
      <c r="U11" s="28"/>
      <c r="W11" s="28"/>
      <c r="X11" s="28"/>
      <c r="Y11" s="28"/>
      <c r="Z11" s="28"/>
    </row>
    <row r="12" spans="1:27" x14ac:dyDescent="0.2">
      <c r="B12" s="20" t="s">
        <v>241</v>
      </c>
      <c r="C12" s="86">
        <f>'[17]Q3''24 Vs Q3''23 &amp; Bud'!$C$12*3.6726*(('2024 IR Data Book'!$A$5))</f>
        <v>1312.3590254182941</v>
      </c>
      <c r="D12" s="138">
        <f>C12/$C$14</f>
        <v>2.1675377319795682E-2</v>
      </c>
      <c r="E12" s="86">
        <f>'[17]Q3''24 Vs Q3''23 &amp; Bud'!$D$12*3.6726*(('2024 IR Data Book'!$A$5))</f>
        <v>1332.2100128961806</v>
      </c>
      <c r="F12" s="138">
        <f>E12/$E$14</f>
        <v>2.9295685032220967E-2</v>
      </c>
      <c r="G12" s="140">
        <f t="shared" si="0"/>
        <v>-19.85098747788652</v>
      </c>
      <c r="H12" s="139">
        <f>(C12/E12)-1</f>
        <v>-1.4900794383560512E-2</v>
      </c>
      <c r="I12" s="151"/>
      <c r="K12" s="20" t="s">
        <v>241</v>
      </c>
      <c r="L12" s="86">
        <f>'[17]YTD''24 Vs YTD''23 &amp; Bud'!$C$12*3.6726*(('2024 IR Data Book'!$A$5))</f>
        <v>3433.1826010472928</v>
      </c>
      <c r="M12" s="138">
        <f t="shared" si="1"/>
        <v>1.6802369523359784E-2</v>
      </c>
      <c r="N12" s="86">
        <f>'[17]YTD''24 Vs YTD''23 &amp; Bud'!$D$12*3.6726*(('2024 IR Data Book'!$A$5))</f>
        <v>3214.0547896360313</v>
      </c>
      <c r="O12" s="138">
        <f t="shared" si="2"/>
        <v>2.3107950017392322E-2</v>
      </c>
      <c r="P12" s="140">
        <f t="shared" si="3"/>
        <v>219.12781141126152</v>
      </c>
      <c r="Q12" s="139">
        <f>(L12/N12)-1</f>
        <v>6.8177995010494596E-2</v>
      </c>
      <c r="U12" s="28"/>
      <c r="W12" s="28"/>
      <c r="X12" s="28"/>
      <c r="Y12" s="28"/>
      <c r="Z12" s="28"/>
    </row>
    <row r="13" spans="1:27" x14ac:dyDescent="0.2">
      <c r="C13" s="86"/>
      <c r="D13" s="138"/>
      <c r="E13" s="86"/>
      <c r="F13" s="138"/>
      <c r="G13" s="140"/>
      <c r="H13" s="139"/>
      <c r="I13" s="151"/>
      <c r="L13" s="86"/>
      <c r="M13" s="138"/>
      <c r="N13" s="86"/>
      <c r="O13" s="138"/>
      <c r="P13" s="140"/>
      <c r="Q13" s="139"/>
      <c r="U13" s="28"/>
      <c r="W13" s="28"/>
      <c r="X13" s="28"/>
      <c r="Y13" s="28"/>
      <c r="Z13" s="28"/>
    </row>
    <row r="14" spans="1:27" x14ac:dyDescent="0.2">
      <c r="B14" s="71" t="s">
        <v>242</v>
      </c>
      <c r="C14" s="87">
        <f>SUM(C8:C12)</f>
        <v>60546.075210406751</v>
      </c>
      <c r="D14" s="138">
        <f>C14/$C$14</f>
        <v>1</v>
      </c>
      <c r="E14" s="87">
        <f>SUM(E8:E12)</f>
        <v>45474.61550842537</v>
      </c>
      <c r="F14" s="138">
        <f>E14/$E$14</f>
        <v>1</v>
      </c>
      <c r="G14" s="141">
        <f>C14-E14</f>
        <v>15071.459701981381</v>
      </c>
      <c r="H14" s="142">
        <f>(C14/E14)-1</f>
        <v>0.33142577531390005</v>
      </c>
      <c r="I14" s="221">
        <f>C14/$C$201</f>
        <v>0.13964308408282858</v>
      </c>
      <c r="K14" s="71" t="s">
        <v>242</v>
      </c>
      <c r="L14" s="87">
        <f>SUM(L8:L12)</f>
        <v>204327.28825980474</v>
      </c>
      <c r="M14" s="138">
        <f>L14/$L$14</f>
        <v>1</v>
      </c>
      <c r="N14" s="87">
        <f>SUM(N8:N12)</f>
        <v>139088.70268530768</v>
      </c>
      <c r="O14" s="138">
        <f>N14/$N$14</f>
        <v>1</v>
      </c>
      <c r="P14" s="141">
        <f>L14-N14</f>
        <v>65238.585574497061</v>
      </c>
      <c r="Q14" s="142">
        <f>(L14/N14)-1</f>
        <v>0.46904302301317236</v>
      </c>
      <c r="U14" s="28"/>
      <c r="W14" s="28"/>
      <c r="X14" s="28"/>
      <c r="Y14" s="28"/>
      <c r="Z14" s="28"/>
    </row>
    <row r="15" spans="1:27" x14ac:dyDescent="0.2">
      <c r="C15" s="86"/>
      <c r="D15" s="143"/>
      <c r="E15" s="86"/>
      <c r="F15" s="143"/>
      <c r="G15" s="171"/>
      <c r="H15" s="139"/>
      <c r="I15" s="221">
        <f>E14/$E$201</f>
        <v>0.12374069809815656</v>
      </c>
      <c r="L15" s="86"/>
      <c r="M15" s="143"/>
      <c r="N15" s="86"/>
      <c r="O15" s="143"/>
      <c r="P15" s="171"/>
      <c r="Q15" s="139"/>
      <c r="U15" s="28"/>
      <c r="W15" s="28"/>
      <c r="X15" s="28"/>
      <c r="Y15" s="28"/>
      <c r="Z15" s="28"/>
    </row>
    <row r="16" spans="1:27" x14ac:dyDescent="0.2">
      <c r="B16" s="71" t="s">
        <v>42</v>
      </c>
      <c r="C16" s="87">
        <f>'[17]Q3''24 Vs Q3''23 &amp; Bud'!$C$16*3.6726*(('2024 IR Data Book'!$A$5))</f>
        <v>16065.467319664476</v>
      </c>
      <c r="D16" s="138">
        <f>C16/$C$14</f>
        <v>0.26534283624222632</v>
      </c>
      <c r="E16" s="87">
        <f>'[17]Q3''24 Vs Q3''23 &amp; Bud'!$D$16*3.6726*(('2024 IR Data Book'!$A$5))</f>
        <v>11467.065773663611</v>
      </c>
      <c r="F16" s="138">
        <f>E16/$E$14</f>
        <v>0.25216410618225094</v>
      </c>
      <c r="G16" s="141">
        <f>C16-E16</f>
        <v>4598.401546000865</v>
      </c>
      <c r="H16" s="142">
        <f>(C16/E16)-1</f>
        <v>0.40100943316833537</v>
      </c>
      <c r="I16" s="151"/>
      <c r="K16" s="71" t="s">
        <v>42</v>
      </c>
      <c r="L16" s="87">
        <f>'[17]YTD''24 Vs YTD''23 &amp; Bud'!$C$16*3.6726*(('2024 IR Data Book'!$A$5))</f>
        <v>52915.983512691855</v>
      </c>
      <c r="M16" s="138">
        <f>L16/$L$14</f>
        <v>0.25897658586555755</v>
      </c>
      <c r="N16" s="87">
        <f>'[17]YTD''24 Vs YTD''23 &amp; Bud'!$D$16*3.6726*(('2024 IR Data Book'!$A$5))</f>
        <v>37938.635844725264</v>
      </c>
      <c r="O16" s="138">
        <f>N16/$N$14</f>
        <v>0.27276576107379874</v>
      </c>
      <c r="P16" s="141">
        <f>L16-N16</f>
        <v>14977.347667966591</v>
      </c>
      <c r="Q16" s="142">
        <f>(L16/N16)-1</f>
        <v>0.39477823423239777</v>
      </c>
      <c r="U16" s="28"/>
      <c r="W16" s="28"/>
      <c r="X16" s="28"/>
      <c r="Y16" s="28"/>
      <c r="Z16" s="28"/>
    </row>
    <row r="17" spans="2:26" x14ac:dyDescent="0.2">
      <c r="B17" s="71"/>
      <c r="C17" s="245"/>
      <c r="D17" s="144"/>
      <c r="E17" s="87"/>
      <c r="F17" s="144"/>
      <c r="G17" s="172"/>
      <c r="H17" s="142"/>
      <c r="I17" s="151"/>
      <c r="K17" s="71"/>
      <c r="L17" s="245"/>
      <c r="M17" s="144"/>
      <c r="N17" s="87"/>
      <c r="O17" s="144"/>
      <c r="P17" s="172"/>
      <c r="Q17" s="142"/>
      <c r="U17" s="28"/>
      <c r="W17" s="28"/>
      <c r="X17" s="28"/>
      <c r="Y17" s="28"/>
      <c r="Z17" s="28"/>
    </row>
    <row r="18" spans="2:26" x14ac:dyDescent="0.2">
      <c r="B18" s="71"/>
      <c r="C18" s="87"/>
      <c r="D18" s="144"/>
      <c r="E18" s="87"/>
      <c r="F18" s="144"/>
      <c r="G18" s="172"/>
      <c r="H18" s="142"/>
      <c r="I18" s="151"/>
      <c r="K18" s="71"/>
      <c r="L18" s="87"/>
      <c r="M18" s="144"/>
      <c r="N18" s="87"/>
      <c r="O18" s="144"/>
      <c r="P18" s="172"/>
      <c r="Q18" s="142"/>
      <c r="U18" s="28"/>
      <c r="W18" s="28"/>
      <c r="X18" s="28"/>
      <c r="Y18" s="28"/>
      <c r="Z18" s="28"/>
    </row>
    <row r="19" spans="2:26" x14ac:dyDescent="0.2">
      <c r="B19" s="71" t="s">
        <v>243</v>
      </c>
      <c r="C19" s="150" t="str">
        <f>$C$6</f>
        <v>Q3'24</v>
      </c>
      <c r="D19" s="135"/>
      <c r="E19" s="150" t="str">
        <f>$E$6</f>
        <v>Q3'23</v>
      </c>
      <c r="G19" s="170" t="s">
        <v>236</v>
      </c>
      <c r="H19" s="150" t="s">
        <v>38</v>
      </c>
      <c r="I19" s="151"/>
      <c r="K19" s="71" t="s">
        <v>243</v>
      </c>
      <c r="L19" s="150" t="str">
        <f>$L$6</f>
        <v>Sep'24 YTD</v>
      </c>
      <c r="M19" s="135"/>
      <c r="N19" s="150" t="str">
        <f>$N$6</f>
        <v>Sep'23 YTD</v>
      </c>
      <c r="P19" s="170" t="s">
        <v>236</v>
      </c>
      <c r="Q19" s="150" t="s">
        <v>38</v>
      </c>
      <c r="U19" s="28"/>
      <c r="W19" s="28"/>
      <c r="X19" s="28"/>
      <c r="Y19" s="28"/>
      <c r="Z19" s="28"/>
    </row>
    <row r="20" spans="2:26" x14ac:dyDescent="0.2">
      <c r="B20" s="20" t="s">
        <v>238</v>
      </c>
      <c r="C20" s="84">
        <f>'[18]Regional Volumes '!$I$47</f>
        <v>4725582</v>
      </c>
      <c r="D20" s="85"/>
      <c r="E20" s="84">
        <f>'[18]Regional Volumes '!$J$47</f>
        <v>4403012</v>
      </c>
      <c r="F20" s="145"/>
      <c r="G20" s="140">
        <f t="shared" ref="G20:G22" si="4">C20-E20</f>
        <v>322570</v>
      </c>
      <c r="H20" s="139">
        <f t="shared" ref="H20:H22" si="5">(C20/E20)-1</f>
        <v>7.3261213006005965E-2</v>
      </c>
      <c r="I20" s="152"/>
      <c r="K20" s="20" t="s">
        <v>238</v>
      </c>
      <c r="L20" s="84">
        <f>'[18]Regional Volumes '!$O$47</f>
        <v>14041458</v>
      </c>
      <c r="M20" s="85"/>
      <c r="N20" s="84">
        <f>'[18]Regional Volumes '!$P$47</f>
        <v>13485838</v>
      </c>
      <c r="O20" s="145"/>
      <c r="P20" s="140">
        <f t="shared" ref="P20:P22" si="6">L20-N20</f>
        <v>555620</v>
      </c>
      <c r="Q20" s="139">
        <f t="shared" ref="Q20:Q22" si="7">(L20/N20)-1</f>
        <v>4.1200257633229764E-2</v>
      </c>
      <c r="U20" s="28"/>
      <c r="W20" s="28"/>
      <c r="X20" s="28"/>
      <c r="Y20" s="28"/>
      <c r="Z20" s="28"/>
    </row>
    <row r="21" spans="2:26" x14ac:dyDescent="0.2">
      <c r="B21" s="20" t="s">
        <v>237</v>
      </c>
      <c r="C21" s="84">
        <f>'[18]Regional Volumes '!$I$21+'[18]Regional Volumes '!$I$34</f>
        <v>983365</v>
      </c>
      <c r="D21" s="85"/>
      <c r="E21" s="84">
        <f>'[18]Regional Volumes '!$J$21+'[18]Regional Volumes '!$J$34</f>
        <v>349754</v>
      </c>
      <c r="F21" s="144"/>
      <c r="G21" s="140">
        <f t="shared" si="4"/>
        <v>633611</v>
      </c>
      <c r="H21" s="139">
        <f t="shared" si="5"/>
        <v>1.8115904321322986</v>
      </c>
      <c r="I21" s="151"/>
      <c r="J21" s="133"/>
      <c r="K21" s="20" t="s">
        <v>237</v>
      </c>
      <c r="L21" s="84">
        <f>'[18]Regional Volumes '!$O$21+'[18]Regional Volumes '!$O$34</f>
        <v>5680607</v>
      </c>
      <c r="M21" s="252"/>
      <c r="N21" s="84">
        <f>'[18]Regional Volumes '!$P$21+'[18]Regional Volumes '!$P$34</f>
        <v>885153</v>
      </c>
      <c r="O21" s="144"/>
      <c r="P21" s="140">
        <f t="shared" si="6"/>
        <v>4795454</v>
      </c>
      <c r="Q21" s="139">
        <f t="shared" si="7"/>
        <v>5.417655478770337</v>
      </c>
      <c r="U21" s="28"/>
      <c r="W21" s="28"/>
      <c r="X21" s="28"/>
      <c r="Y21" s="28"/>
      <c r="Z21" s="28"/>
    </row>
    <row r="22" spans="2:26" x14ac:dyDescent="0.2">
      <c r="B22" s="146"/>
      <c r="C22" s="250">
        <f>C21+C20</f>
        <v>5708947</v>
      </c>
      <c r="D22" s="250"/>
      <c r="E22" s="250">
        <f>E21+E20</f>
        <v>4752766</v>
      </c>
      <c r="F22" s="146"/>
      <c r="G22" s="247">
        <f t="shared" si="4"/>
        <v>956181</v>
      </c>
      <c r="H22" s="248">
        <f t="shared" si="5"/>
        <v>0.2011841104737746</v>
      </c>
      <c r="I22" s="153"/>
      <c r="J22" s="147"/>
      <c r="K22" s="146"/>
      <c r="L22" s="250">
        <f>L21+L20</f>
        <v>19722065</v>
      </c>
      <c r="M22" s="250"/>
      <c r="N22" s="250">
        <f>N21+N20</f>
        <v>14370991</v>
      </c>
      <c r="O22" s="146"/>
      <c r="P22" s="247">
        <f t="shared" si="6"/>
        <v>5351074</v>
      </c>
      <c r="Q22" s="248">
        <f t="shared" si="7"/>
        <v>0.37235247033416141</v>
      </c>
      <c r="U22" s="28"/>
      <c r="W22" s="28"/>
      <c r="X22" s="28"/>
      <c r="Y22" s="28"/>
      <c r="Z22" s="28"/>
    </row>
    <row r="23" spans="2:26" x14ac:dyDescent="0.2">
      <c r="I23" s="151"/>
      <c r="U23" s="28"/>
      <c r="W23" s="28"/>
      <c r="X23" s="28"/>
      <c r="Y23" s="28"/>
      <c r="Z23" s="28"/>
    </row>
    <row r="24" spans="2:26" x14ac:dyDescent="0.2">
      <c r="B24" s="71" t="s">
        <v>244</v>
      </c>
      <c r="I24" s="151"/>
      <c r="K24" s="71" t="s">
        <v>244</v>
      </c>
      <c r="U24" s="28"/>
      <c r="W24" s="28"/>
      <c r="X24" s="28"/>
      <c r="Y24" s="28"/>
      <c r="Z24" s="28"/>
    </row>
    <row r="25" spans="2:26" x14ac:dyDescent="0.2">
      <c r="B25" s="58" t="str">
        <f>B3</f>
        <v>Q3'24 vs Q3'23</v>
      </c>
      <c r="I25" s="151"/>
      <c r="K25" s="58" t="str">
        <f>$K$3</f>
        <v>Sep'24 YTD vs Sep'23 YTD</v>
      </c>
      <c r="U25" s="28"/>
      <c r="W25" s="28"/>
      <c r="X25" s="28"/>
      <c r="Y25" s="28"/>
      <c r="Z25" s="28"/>
    </row>
    <row r="26" spans="2:26" x14ac:dyDescent="0.2">
      <c r="B26" s="50" t="s">
        <v>233</v>
      </c>
      <c r="I26" s="151"/>
      <c r="K26" s="50" t="s">
        <v>234</v>
      </c>
      <c r="U26" s="28"/>
      <c r="W26" s="28"/>
      <c r="X26" s="28"/>
      <c r="Y26" s="28"/>
      <c r="Z26" s="28"/>
    </row>
    <row r="27" spans="2:26" x14ac:dyDescent="0.2">
      <c r="C27" s="150" t="s">
        <v>235</v>
      </c>
      <c r="D27" s="135"/>
      <c r="E27" s="150" t="s">
        <v>235</v>
      </c>
      <c r="I27" s="151"/>
      <c r="L27" s="150" t="s">
        <v>235</v>
      </c>
      <c r="M27" s="135"/>
      <c r="N27" s="150" t="s">
        <v>235</v>
      </c>
      <c r="U27" s="28"/>
      <c r="W27" s="28"/>
      <c r="X27" s="28"/>
      <c r="Y27" s="28"/>
      <c r="Z27" s="28"/>
    </row>
    <row r="28" spans="2:26" x14ac:dyDescent="0.2">
      <c r="B28" s="136"/>
      <c r="C28" s="150" t="str">
        <f>$C$6</f>
        <v>Q3'24</v>
      </c>
      <c r="D28" s="135"/>
      <c r="E28" s="150" t="str">
        <f>$E$6</f>
        <v>Q3'23</v>
      </c>
      <c r="G28" s="170" t="s">
        <v>236</v>
      </c>
      <c r="H28" s="150" t="s">
        <v>38</v>
      </c>
      <c r="I28" s="151"/>
      <c r="K28" s="136"/>
      <c r="L28" s="150" t="str">
        <f>$L$6</f>
        <v>Sep'24 YTD</v>
      </c>
      <c r="M28" s="135"/>
      <c r="N28" s="150" t="str">
        <f>$N$6</f>
        <v>Sep'23 YTD</v>
      </c>
      <c r="P28" s="170" t="s">
        <v>236</v>
      </c>
      <c r="Q28" s="150" t="s">
        <v>38</v>
      </c>
      <c r="U28" s="28"/>
      <c r="W28" s="28"/>
      <c r="X28" s="28"/>
      <c r="Y28" s="28"/>
      <c r="Z28" s="28"/>
    </row>
    <row r="29" spans="2:26" x14ac:dyDescent="0.2">
      <c r="H29" s="137"/>
      <c r="I29" s="151"/>
      <c r="Q29" s="137"/>
      <c r="U29" s="28"/>
      <c r="W29" s="28"/>
      <c r="X29" s="28"/>
      <c r="Y29" s="28"/>
      <c r="Z29" s="28"/>
    </row>
    <row r="30" spans="2:26" x14ac:dyDescent="0.2">
      <c r="B30" s="20" t="s">
        <v>237</v>
      </c>
      <c r="C30" s="86">
        <f>'[17]Q3''24 Vs Q3''23 &amp; Bud'!$G$8*3.6726*(('2024 IR Data Book'!$A$5))</f>
        <v>44641.174812047691</v>
      </c>
      <c r="D30" s="138">
        <f>C30/$C$36</f>
        <v>0.25192569949846977</v>
      </c>
      <c r="E30" s="86">
        <f>'[17]Q3''24 Vs Q3''23 &amp; Bud'!$H$8*3.6726*(('2024 IR Data Book'!$A$5))</f>
        <v>34928.131392729636</v>
      </c>
      <c r="F30" s="138">
        <f>E30/$E$36</f>
        <v>0.23946132776177159</v>
      </c>
      <c r="G30" s="140">
        <f>C30-E30</f>
        <v>9713.0434193180554</v>
      </c>
      <c r="H30" s="139">
        <f>(C30/E30)-1</f>
        <v>0.27808654605954231</v>
      </c>
      <c r="I30" s="151"/>
      <c r="K30" s="20" t="s">
        <v>237</v>
      </c>
      <c r="L30" s="86">
        <f>'[17]YTD''24 Vs YTD''23 &amp; Bud'!$G$8*3.6726*(('2024 IR Data Book'!$A$5))</f>
        <v>131533.86984467195</v>
      </c>
      <c r="M30" s="138">
        <f>L30/$L$36</f>
        <v>0.26469709011765696</v>
      </c>
      <c r="N30" s="86">
        <f>'[17]YTD''24 Vs YTD''23 &amp; Bud'!$H$8*3.6726*(('2024 IR Data Book'!$A$5))</f>
        <v>113177.93858646105</v>
      </c>
      <c r="O30" s="138">
        <f>N30/$N$36</f>
        <v>0.25325082431437718</v>
      </c>
      <c r="P30" s="140">
        <f>L30-N30</f>
        <v>18355.931258210898</v>
      </c>
      <c r="Q30" s="139">
        <f>(L30/N30)-1</f>
        <v>0.1621864781022504</v>
      </c>
      <c r="U30" s="28"/>
      <c r="W30" s="28"/>
      <c r="X30" s="28"/>
      <c r="Y30" s="28"/>
      <c r="Z30" s="28"/>
    </row>
    <row r="31" spans="2:26" x14ac:dyDescent="0.2">
      <c r="B31" s="20" t="s">
        <v>238</v>
      </c>
      <c r="C31" s="86">
        <f>'[17]Q3''24 Vs Q3''23 &amp; Bud'!$G$9*3.6726*(('2024 IR Data Book'!$A$5))</f>
        <v>46418.817125349742</v>
      </c>
      <c r="D31" s="138">
        <f t="shared" ref="D31:D34" si="8">C31/$C$36</f>
        <v>0.26195755428549561</v>
      </c>
      <c r="E31" s="86">
        <f>'[17]Q3''24 Vs Q3''23 &amp; Bud'!$H$9*3.6726*(('2024 IR Data Book'!$A$5))</f>
        <v>40648.979662315265</v>
      </c>
      <c r="F31" s="138">
        <f t="shared" ref="F31:F34" si="9">E31/$E$36</f>
        <v>0.27868249041588827</v>
      </c>
      <c r="G31" s="140">
        <f t="shared" ref="G31:G34" si="10">C31-E31</f>
        <v>5769.837463034477</v>
      </c>
      <c r="H31" s="139">
        <f>(C31/E31)-1</f>
        <v>0.14194298383296355</v>
      </c>
      <c r="I31" s="151"/>
      <c r="K31" s="20" t="s">
        <v>238</v>
      </c>
      <c r="L31" s="86">
        <f>'[17]YTD''24 Vs YTD''23 &amp; Bud'!$G$9*3.6726*(('2024 IR Data Book'!$A$5))</f>
        <v>126725.31631801484</v>
      </c>
      <c r="M31" s="138">
        <f t="shared" ref="M31:M34" si="11">L31/$L$36</f>
        <v>0.25502041803552178</v>
      </c>
      <c r="N31" s="86">
        <f>'[17]YTD''24 Vs YTD''23 &amp; Bud'!$H$9*3.6726*(('2024 IR Data Book'!$A$5))</f>
        <v>121102.89233649128</v>
      </c>
      <c r="O31" s="138">
        <f>N31/$N$36</f>
        <v>0.27098397173617128</v>
      </c>
      <c r="P31" s="140">
        <f t="shared" ref="P31:P34" si="12">L31-N31</f>
        <v>5622.4239815235633</v>
      </c>
      <c r="Q31" s="139">
        <f>(L31/N31)-1</f>
        <v>4.6426834843063425E-2</v>
      </c>
      <c r="U31" s="28"/>
      <c r="W31" s="28"/>
      <c r="X31" s="28"/>
      <c r="Y31" s="28"/>
      <c r="Z31" s="28"/>
    </row>
    <row r="32" spans="2:26" x14ac:dyDescent="0.2">
      <c r="B32" s="20" t="s">
        <v>239</v>
      </c>
      <c r="C32" s="86">
        <f>'[17]Q3''24 Vs Q3''23 &amp; Bud'!$G$10*3.6726*(('2024 IR Data Book'!$A$5))</f>
        <v>67378.973675043002</v>
      </c>
      <c r="D32" s="138">
        <f t="shared" si="8"/>
        <v>0.38024301882828448</v>
      </c>
      <c r="E32" s="86">
        <f>'[17]Q3''24 Vs Q3''23 &amp; Bud'!$H$10*3.6726*(('2024 IR Data Book'!$A$5))</f>
        <v>54634.876804439155</v>
      </c>
      <c r="F32" s="138">
        <f t="shared" si="9"/>
        <v>0.37456742230461998</v>
      </c>
      <c r="G32" s="81">
        <f t="shared" si="10"/>
        <v>12744.096870603847</v>
      </c>
      <c r="H32" s="82">
        <f>(C32/E32)-1</f>
        <v>0.23325936866701924</v>
      </c>
      <c r="I32" s="151"/>
      <c r="K32" s="20" t="s">
        <v>239</v>
      </c>
      <c r="L32" s="86">
        <f>'[17]YTD''24 Vs YTD''23 &amp; Bud'!$G$10*3.6726*(('2024 IR Data Book'!$A$5))</f>
        <v>186947.58437372855</v>
      </c>
      <c r="M32" s="138">
        <f t="shared" si="11"/>
        <v>0.37621094587034665</v>
      </c>
      <c r="N32" s="86">
        <f>'[17]YTD''24 Vs YTD''23 &amp; Bud'!$H$10*3.6726*(('2024 IR Data Book'!$A$5))</f>
        <v>161483.87110855262</v>
      </c>
      <c r="O32" s="138">
        <f>N32/$N$36</f>
        <v>0.36134183024084326</v>
      </c>
      <c r="P32" s="81">
        <f t="shared" si="12"/>
        <v>25463.713265175931</v>
      </c>
      <c r="Q32" s="82">
        <f>(L32/N32)-1</f>
        <v>0.15768579914745007</v>
      </c>
      <c r="U32" s="28"/>
      <c r="W32" s="28"/>
      <c r="X32" s="28"/>
      <c r="Y32" s="28"/>
      <c r="Z32" s="28"/>
    </row>
    <row r="33" spans="2:26" x14ac:dyDescent="0.2">
      <c r="B33" s="20" t="s">
        <v>240</v>
      </c>
      <c r="C33" s="86">
        <f>'[17]Q3''24 Vs Q3''23 &amp; Bud'!$G$11*3.6726*(('2024 IR Data Book'!$A$5))</f>
        <v>18281.101721944891</v>
      </c>
      <c r="D33" s="138">
        <f t="shared" si="8"/>
        <v>0.10316662494421466</v>
      </c>
      <c r="E33" s="86">
        <f>'[17]Q3''24 Vs Q3''23 &amp; Bud'!$H$11*3.6726*(('2024 IR Data Book'!$A$5))</f>
        <v>15395.18058872244</v>
      </c>
      <c r="F33" s="138">
        <f t="shared" si="9"/>
        <v>0.10554673948790433</v>
      </c>
      <c r="G33" s="140">
        <f t="shared" si="10"/>
        <v>2885.9211332224513</v>
      </c>
      <c r="H33" s="139">
        <f>(C33/E33)-1</f>
        <v>0.18745614035450164</v>
      </c>
      <c r="I33" s="151"/>
      <c r="K33" s="20" t="s">
        <v>240</v>
      </c>
      <c r="L33" s="86">
        <f>'[17]YTD''24 Vs YTD''23 &amp; Bud'!$G$11*3.6726*(('2024 IR Data Book'!$A$5))</f>
        <v>50289.676117952193</v>
      </c>
      <c r="M33" s="138">
        <f t="shared" si="11"/>
        <v>0.10120230589353851</v>
      </c>
      <c r="N33" s="86">
        <f>'[17]YTD''24 Vs YTD''23 &amp; Bud'!$H$11*3.6726*(('2024 IR Data Book'!$A$5))</f>
        <v>49827.509675065186</v>
      </c>
      <c r="O33" s="138">
        <f>N33/$N$36</f>
        <v>0.11149573897834184</v>
      </c>
      <c r="P33" s="140">
        <f t="shared" si="12"/>
        <v>462.16644288700627</v>
      </c>
      <c r="Q33" s="139">
        <f>(L33/N33)-1</f>
        <v>9.2753269408982764E-3</v>
      </c>
      <c r="U33" s="28"/>
      <c r="W33" s="28"/>
      <c r="X33" s="28"/>
      <c r="Y33" s="28"/>
      <c r="Z33" s="28"/>
    </row>
    <row r="34" spans="2:26" x14ac:dyDescent="0.2">
      <c r="B34" s="20" t="s">
        <v>241</v>
      </c>
      <c r="C34" s="86">
        <f>'[17]Q3''24 Vs Q3''23 &amp; Bud'!$G$12*3.6726*(('2024 IR Data Book'!$A$5))</f>
        <v>479.69791750731241</v>
      </c>
      <c r="D34" s="138">
        <f t="shared" si="8"/>
        <v>2.7071024435354821E-3</v>
      </c>
      <c r="E34" s="86">
        <f>'[17]Q3''24 Vs Q3''23 &amp; Bud'!$H$12*3.6726*(('2024 IR Data Book'!$A$5))</f>
        <v>254.09323943408</v>
      </c>
      <c r="F34" s="138">
        <f t="shared" si="9"/>
        <v>1.7420200298158424E-3</v>
      </c>
      <c r="G34" s="140">
        <f t="shared" si="10"/>
        <v>225.60467807323241</v>
      </c>
      <c r="H34" s="139">
        <f>(C34/E34)-1</f>
        <v>0.88788146656598288</v>
      </c>
      <c r="I34" s="151"/>
      <c r="K34" s="20" t="s">
        <v>241</v>
      </c>
      <c r="L34" s="86">
        <f>'[17]YTD''24 Vs YTD''23 &amp; Bud'!$G$12*3.6726*(('2024 IR Data Book'!$A$5))</f>
        <v>1425.7891972075622</v>
      </c>
      <c r="M34" s="138">
        <f t="shared" si="11"/>
        <v>2.8692400829360932E-3</v>
      </c>
      <c r="N34" s="86">
        <f>'[17]YTD''24 Vs YTD''23 &amp; Bud'!$H$12*3.6726*(('2024 IR Data Book'!$A$5))</f>
        <v>1308.3616395039701</v>
      </c>
      <c r="O34" s="138">
        <f>N34/$N$36</f>
        <v>2.9276347302664828E-3</v>
      </c>
      <c r="P34" s="140">
        <f t="shared" si="12"/>
        <v>117.42755770359213</v>
      </c>
      <c r="Q34" s="139">
        <f>(L34/N34)-1</f>
        <v>8.9751605487387698E-2</v>
      </c>
      <c r="U34" s="28"/>
      <c r="W34" s="28"/>
      <c r="X34" s="28"/>
      <c r="Y34" s="28"/>
      <c r="Z34" s="28"/>
    </row>
    <row r="35" spans="2:26" x14ac:dyDescent="0.2">
      <c r="C35" s="86"/>
      <c r="D35" s="138"/>
      <c r="E35" s="86"/>
      <c r="F35" s="138"/>
      <c r="G35" s="140"/>
      <c r="H35" s="139"/>
      <c r="I35" s="151"/>
      <c r="L35" s="86"/>
      <c r="M35" s="138"/>
      <c r="N35" s="86"/>
      <c r="O35" s="138"/>
      <c r="P35" s="140"/>
      <c r="Q35" s="139"/>
      <c r="U35" s="28"/>
      <c r="W35" s="28"/>
      <c r="X35" s="28"/>
      <c r="Y35" s="28"/>
      <c r="Z35" s="28"/>
    </row>
    <row r="36" spans="2:26" x14ac:dyDescent="0.2">
      <c r="B36" s="71" t="s">
        <v>242</v>
      </c>
      <c r="C36" s="87">
        <f>SUM(C30:C34)</f>
        <v>177199.76525189265</v>
      </c>
      <c r="D36" s="138">
        <f>C36/$C$36</f>
        <v>1</v>
      </c>
      <c r="E36" s="87">
        <f>SUM(E30:E34)</f>
        <v>145861.26168764057</v>
      </c>
      <c r="F36" s="138">
        <f>E36/$E$36</f>
        <v>1</v>
      </c>
      <c r="G36" s="141">
        <f>C36-E36</f>
        <v>31338.503564252082</v>
      </c>
      <c r="H36" s="142">
        <f>(C36/E36)-1</f>
        <v>0.21485144994400884</v>
      </c>
      <c r="I36" s="221">
        <f>C36/$C$201</f>
        <v>0.40869241536360346</v>
      </c>
      <c r="K36" s="71" t="s">
        <v>242</v>
      </c>
      <c r="L36" s="87">
        <f>SUM(L30:L34)</f>
        <v>496922.2358515751</v>
      </c>
      <c r="M36" s="138">
        <f>L36/$L$36</f>
        <v>1</v>
      </c>
      <c r="N36" s="87">
        <f>SUM(N30:N34)</f>
        <v>446900.57334607409</v>
      </c>
      <c r="O36" s="138">
        <f>N36/$N$36</f>
        <v>1</v>
      </c>
      <c r="P36" s="141">
        <f>L36-N36</f>
        <v>50021.662505501008</v>
      </c>
      <c r="Q36" s="142">
        <f>(L36/N36)-1</f>
        <v>0.11193018198874594</v>
      </c>
      <c r="U36" s="28"/>
      <c r="W36" s="28"/>
      <c r="X36" s="28"/>
      <c r="Y36" s="28"/>
      <c r="Z36" s="28"/>
    </row>
    <row r="37" spans="2:26" x14ac:dyDescent="0.2">
      <c r="C37" s="86"/>
      <c r="D37" s="143"/>
      <c r="E37" s="86"/>
      <c r="F37" s="143"/>
      <c r="G37" s="171"/>
      <c r="H37" s="139"/>
      <c r="I37" s="221">
        <f>E36/$E$201</f>
        <v>0.39690218696544</v>
      </c>
      <c r="L37" s="86"/>
      <c r="M37" s="143"/>
      <c r="N37" s="86"/>
      <c r="O37" s="143"/>
      <c r="P37" s="171"/>
      <c r="Q37" s="139"/>
      <c r="U37" s="28"/>
      <c r="W37" s="28"/>
      <c r="X37" s="28"/>
      <c r="Y37" s="28"/>
      <c r="Z37" s="28"/>
    </row>
    <row r="38" spans="2:26" x14ac:dyDescent="0.2">
      <c r="B38" s="71" t="s">
        <v>42</v>
      </c>
      <c r="C38" s="87">
        <f>'[17]Q3''24 Vs Q3''23 &amp; Bud'!$G$16*3.6726*(('2024 IR Data Book'!$A$5))</f>
        <v>41013.677397017316</v>
      </c>
      <c r="D38" s="138">
        <f>C38/$C$36</f>
        <v>0.23145446800516714</v>
      </c>
      <c r="E38" s="87">
        <f>'[17]Q3''24 Vs Q3''23 &amp; Bud'!$H$16*3.6726*(('2024 IR Data Book'!$A$5))</f>
        <v>35029.259105821744</v>
      </c>
      <c r="F38" s="138">
        <f>E38/$E$36</f>
        <v>0.24015464216151039</v>
      </c>
      <c r="G38" s="141">
        <f>C38-E38</f>
        <v>5984.4182911955722</v>
      </c>
      <c r="H38" s="142">
        <f>(C38/E38)-1</f>
        <v>0.1708405614037376</v>
      </c>
      <c r="I38" s="154"/>
      <c r="K38" s="71" t="s">
        <v>42</v>
      </c>
      <c r="L38" s="87">
        <f>'[17]YTD''24 Vs YTD''23 &amp; Bud'!$G$16*3.6726*(('2024 IR Data Book'!$A$5))</f>
        <v>122531.92019114042</v>
      </c>
      <c r="M38" s="138">
        <f>L38/$L$36</f>
        <v>0.24658168089652419</v>
      </c>
      <c r="N38" s="87">
        <f>'[17]YTD''24 Vs YTD''23 &amp; Bud'!$H$16*3.6726*(('2024 IR Data Book'!$A$5))</f>
        <v>107160.36596678328</v>
      </c>
      <c r="O38" s="138">
        <f>N38/$N$36</f>
        <v>0.23978569811276493</v>
      </c>
      <c r="P38" s="141">
        <f>L38-N38</f>
        <v>15371.55422435714</v>
      </c>
      <c r="Q38" s="142">
        <f>(L38/N38)-1</f>
        <v>0.14344439836200151</v>
      </c>
      <c r="U38" s="28"/>
      <c r="W38" s="28"/>
      <c r="X38" s="28"/>
      <c r="Y38" s="28"/>
      <c r="Z38" s="28"/>
    </row>
    <row r="39" spans="2:26" x14ac:dyDescent="0.2">
      <c r="I39" s="151"/>
      <c r="U39" s="28"/>
      <c r="W39" s="28"/>
      <c r="X39" s="28"/>
      <c r="Y39" s="28"/>
      <c r="Z39" s="28"/>
    </row>
    <row r="40" spans="2:26" x14ac:dyDescent="0.2">
      <c r="B40" s="71" t="s">
        <v>243</v>
      </c>
      <c r="C40" s="150" t="str">
        <f>$C$6</f>
        <v>Q3'24</v>
      </c>
      <c r="D40" s="135"/>
      <c r="E40" s="150" t="str">
        <f>$E$6</f>
        <v>Q3'23</v>
      </c>
      <c r="G40" s="170" t="s">
        <v>236</v>
      </c>
      <c r="H40" s="150" t="s">
        <v>38</v>
      </c>
      <c r="I40" s="151"/>
      <c r="K40" s="71" t="s">
        <v>243</v>
      </c>
      <c r="L40" s="150" t="str">
        <f>$L$6</f>
        <v>Sep'24 YTD</v>
      </c>
      <c r="M40" s="135"/>
      <c r="N40" s="150" t="str">
        <f>$N$6</f>
        <v>Sep'23 YTD</v>
      </c>
      <c r="P40" s="170" t="s">
        <v>236</v>
      </c>
      <c r="Q40" s="150" t="s">
        <v>38</v>
      </c>
      <c r="U40" s="28"/>
      <c r="W40" s="28"/>
      <c r="X40" s="28"/>
      <c r="Y40" s="28"/>
      <c r="Z40" s="28"/>
    </row>
    <row r="41" spans="2:26" x14ac:dyDescent="0.2">
      <c r="B41" s="20" t="s">
        <v>238</v>
      </c>
      <c r="C41" s="83">
        <f>'[18]Regional Volumes '!$I$50</f>
        <v>9798594</v>
      </c>
      <c r="D41" s="83"/>
      <c r="E41" s="83">
        <f>'[18]Regional Volumes '!$J$50</f>
        <v>8201765</v>
      </c>
      <c r="F41" s="89"/>
      <c r="G41" s="140">
        <f t="shared" ref="G41:G43" si="13">C41-E41</f>
        <v>1596829</v>
      </c>
      <c r="H41" s="139">
        <f t="shared" ref="H41:H43" si="14">(C41/E41)-1</f>
        <v>0.19469333734872918</v>
      </c>
      <c r="I41" s="152"/>
      <c r="K41" s="20" t="s">
        <v>238</v>
      </c>
      <c r="L41" s="83">
        <f>'[18]Regional Volumes '!$O$50</f>
        <v>26103753</v>
      </c>
      <c r="M41" s="83"/>
      <c r="N41" s="83">
        <f>'[18]Regional Volumes '!$P$50</f>
        <v>24798909</v>
      </c>
      <c r="O41" s="89"/>
      <c r="P41" s="140">
        <f t="shared" ref="P41:P43" si="15">L41-N41</f>
        <v>1304844</v>
      </c>
      <c r="Q41" s="139">
        <f t="shared" ref="Q41:Q43" si="16">(L41/N41)-1</f>
        <v>5.2616992142678454E-2</v>
      </c>
      <c r="U41" s="28"/>
      <c r="W41" s="28"/>
      <c r="X41" s="28"/>
      <c r="Y41" s="28"/>
      <c r="Z41" s="28"/>
    </row>
    <row r="42" spans="2:26" x14ac:dyDescent="0.2">
      <c r="B42" s="20" t="s">
        <v>237</v>
      </c>
      <c r="C42" s="251">
        <f>'[18]Regional Volumes '!$I$24+'[18]Regional Volumes '!$I$37</f>
        <v>2016873</v>
      </c>
      <c r="D42" s="252"/>
      <c r="E42" s="251">
        <f>'[18]Regional Volumes '!$J$24+'[18]Regional Volumes '!$J$37</f>
        <v>1203881</v>
      </c>
      <c r="F42" s="144"/>
      <c r="G42" s="140">
        <f t="shared" si="13"/>
        <v>812992</v>
      </c>
      <c r="H42" s="139">
        <f t="shared" si="14"/>
        <v>0.67530927060066559</v>
      </c>
      <c r="I42" s="151"/>
      <c r="J42" s="133"/>
      <c r="K42" s="71" t="s">
        <v>237</v>
      </c>
      <c r="L42" s="251">
        <f>'[18]Regional Volumes '!$O$24+'[18]Regional Volumes '!$O$37</f>
        <v>5440717</v>
      </c>
      <c r="M42" s="252"/>
      <c r="N42" s="251">
        <f>'[18]Regional Volumes '!$P$24+'[18]Regional Volumes '!$P$37</f>
        <v>3919895</v>
      </c>
      <c r="O42" s="144"/>
      <c r="P42" s="140">
        <f t="shared" si="15"/>
        <v>1520822</v>
      </c>
      <c r="Q42" s="139">
        <f t="shared" si="16"/>
        <v>0.38797518811090592</v>
      </c>
      <c r="U42" s="28"/>
      <c r="W42" s="28"/>
      <c r="X42" s="28"/>
      <c r="Y42" s="28"/>
      <c r="Z42" s="28"/>
    </row>
    <row r="43" spans="2:26" x14ac:dyDescent="0.2">
      <c r="B43" s="146"/>
      <c r="C43" s="250">
        <f>C42+C41</f>
        <v>11815467</v>
      </c>
      <c r="D43" s="250"/>
      <c r="E43" s="250">
        <f>E42+E41</f>
        <v>9405646</v>
      </c>
      <c r="F43" s="146"/>
      <c r="G43" s="247">
        <f t="shared" si="13"/>
        <v>2409821</v>
      </c>
      <c r="H43" s="248">
        <f t="shared" si="14"/>
        <v>0.25621004660392277</v>
      </c>
      <c r="I43" s="153"/>
      <c r="K43" s="146"/>
      <c r="L43" s="250">
        <f>L42+L41</f>
        <v>31544470</v>
      </c>
      <c r="M43" s="250"/>
      <c r="N43" s="250">
        <f>N42+N41</f>
        <v>28718804</v>
      </c>
      <c r="O43" s="146"/>
      <c r="P43" s="247">
        <f t="shared" si="15"/>
        <v>2825666</v>
      </c>
      <c r="Q43" s="248">
        <f t="shared" si="16"/>
        <v>9.8390796496957256E-2</v>
      </c>
      <c r="U43" s="28"/>
      <c r="W43" s="28"/>
      <c r="X43" s="28"/>
      <c r="Y43" s="28"/>
      <c r="Z43" s="28"/>
    </row>
    <row r="44" spans="2:26" x14ac:dyDescent="0.2">
      <c r="I44" s="151"/>
      <c r="U44" s="28"/>
      <c r="W44" s="28"/>
      <c r="X44" s="28"/>
      <c r="Y44" s="28"/>
      <c r="Z44" s="28"/>
    </row>
    <row r="45" spans="2:26" x14ac:dyDescent="0.2">
      <c r="B45" s="71" t="s">
        <v>245</v>
      </c>
      <c r="I45" s="151"/>
      <c r="K45" s="71" t="s">
        <v>245</v>
      </c>
      <c r="U45" s="28"/>
      <c r="W45" s="28"/>
      <c r="X45" s="28"/>
      <c r="Y45" s="28"/>
      <c r="Z45" s="28"/>
    </row>
    <row r="46" spans="2:26" x14ac:dyDescent="0.2">
      <c r="B46" s="58" t="str">
        <f>$B$3</f>
        <v>Q3'24 vs Q3'23</v>
      </c>
      <c r="I46" s="151"/>
      <c r="K46" s="58" t="str">
        <f>$K$3</f>
        <v>Sep'24 YTD vs Sep'23 YTD</v>
      </c>
      <c r="U46" s="28"/>
      <c r="W46" s="28"/>
      <c r="X46" s="28"/>
      <c r="Y46" s="28"/>
      <c r="Z46" s="28"/>
    </row>
    <row r="47" spans="2:26" x14ac:dyDescent="0.2">
      <c r="B47" s="50" t="s">
        <v>233</v>
      </c>
      <c r="I47" s="151"/>
      <c r="K47" s="50" t="s">
        <v>234</v>
      </c>
      <c r="U47" s="28"/>
      <c r="W47" s="28"/>
      <c r="X47" s="28"/>
      <c r="Y47" s="28"/>
      <c r="Z47" s="28"/>
    </row>
    <row r="48" spans="2:26" x14ac:dyDescent="0.2">
      <c r="C48" s="150" t="s">
        <v>235</v>
      </c>
      <c r="D48" s="135"/>
      <c r="E48" s="150" t="s">
        <v>235</v>
      </c>
      <c r="I48" s="151"/>
      <c r="L48" s="150" t="s">
        <v>235</v>
      </c>
      <c r="M48" s="135"/>
      <c r="N48" s="150" t="s">
        <v>235</v>
      </c>
      <c r="U48" s="28"/>
      <c r="W48" s="28"/>
      <c r="X48" s="28"/>
      <c r="Y48" s="28"/>
      <c r="Z48" s="28"/>
    </row>
    <row r="49" spans="2:26" x14ac:dyDescent="0.2">
      <c r="B49" s="136"/>
      <c r="C49" s="150" t="str">
        <f>$C$6</f>
        <v>Q3'24</v>
      </c>
      <c r="D49" s="135"/>
      <c r="E49" s="150" t="str">
        <f>$E$6</f>
        <v>Q3'23</v>
      </c>
      <c r="G49" s="170" t="s">
        <v>236</v>
      </c>
      <c r="H49" s="150" t="s">
        <v>38</v>
      </c>
      <c r="I49" s="151"/>
      <c r="K49" s="136"/>
      <c r="L49" s="150" t="str">
        <f>$L$6</f>
        <v>Sep'24 YTD</v>
      </c>
      <c r="M49" s="135"/>
      <c r="N49" s="150" t="str">
        <f>$N$6</f>
        <v>Sep'23 YTD</v>
      </c>
      <c r="P49" s="170" t="s">
        <v>236</v>
      </c>
      <c r="Q49" s="150" t="s">
        <v>38</v>
      </c>
      <c r="U49" s="28"/>
      <c r="W49" s="28"/>
      <c r="X49" s="28"/>
      <c r="Y49" s="28"/>
      <c r="Z49" s="28"/>
    </row>
    <row r="50" spans="2:26" x14ac:dyDescent="0.2">
      <c r="H50" s="137"/>
      <c r="I50" s="151"/>
      <c r="Q50" s="137"/>
      <c r="U50" s="28"/>
      <c r="W50" s="28"/>
      <c r="X50" s="28"/>
      <c r="Y50" s="28"/>
      <c r="Z50" s="28"/>
    </row>
    <row r="51" spans="2:26" x14ac:dyDescent="0.2">
      <c r="B51" s="20" t="s">
        <v>237</v>
      </c>
      <c r="C51" s="86">
        <f>'[17]Q3''24 Vs Q3''23 &amp; Bud'!$K$8*3.6726*(('2024 IR Data Book'!$A$5))</f>
        <v>4475.8381291094829</v>
      </c>
      <c r="D51" s="138">
        <f>C51/$C$57</f>
        <v>0.20763685562171294</v>
      </c>
      <c r="E51" s="86">
        <f>'[17]Q3''24 Vs Q3''23 &amp; Bud'!$L$8*3.6726*(('2024 IR Data Book'!$A$5))</f>
        <v>4880.4861873229984</v>
      </c>
      <c r="F51" s="138">
        <f>E51/$E$57</f>
        <v>0.25126146485653145</v>
      </c>
      <c r="G51" s="140">
        <f>C51-E51</f>
        <v>-404.64805821351547</v>
      </c>
      <c r="H51" s="139">
        <f>(C51/E51)-1</f>
        <v>-8.2911423715240407E-2</v>
      </c>
      <c r="I51" s="151"/>
      <c r="K51" s="20" t="s">
        <v>237</v>
      </c>
      <c r="L51" s="86">
        <f>'[17]YTD''24 Vs YTD''23 &amp; Bud'!$K$8*3.6726*(('2024 IR Data Book'!$A$5))</f>
        <v>13399.904789554661</v>
      </c>
      <c r="M51" s="138">
        <f>L51/$L$57</f>
        <v>0.23029374539106273</v>
      </c>
      <c r="N51" s="86">
        <f>'[17]YTD''24 Vs YTD''23 &amp; Bud'!$L$8*3.6726*(('2024 IR Data Book'!$A$5))</f>
        <v>14509.987532664416</v>
      </c>
      <c r="O51" s="138">
        <f>N51/$N$57</f>
        <v>0.23359040573618228</v>
      </c>
      <c r="P51" s="140">
        <f>L51-N51</f>
        <v>-1110.082743109755</v>
      </c>
      <c r="Q51" s="139">
        <f>(L51/N51)-1</f>
        <v>-7.6504734453477163E-2</v>
      </c>
      <c r="U51" s="28"/>
      <c r="W51" s="28"/>
      <c r="X51" s="28"/>
      <c r="Y51" s="28"/>
      <c r="Z51" s="28"/>
    </row>
    <row r="52" spans="2:26" x14ac:dyDescent="0.2">
      <c r="B52" s="20" t="s">
        <v>238</v>
      </c>
      <c r="C52" s="86">
        <f>'[17]Q3''24 Vs Q3''23 &amp; Bud'!$K$9*3.6726*(('2024 IR Data Book'!$A$5))</f>
        <v>10394.917089719782</v>
      </c>
      <c r="D52" s="138">
        <f t="shared" ref="D52:D55" si="17">C52/$C$57</f>
        <v>0.48222653203663868</v>
      </c>
      <c r="E52" s="86">
        <f>'[17]Q3''24 Vs Q3''23 &amp; Bud'!$L$9*3.6726*(('2024 IR Data Book'!$A$5))</f>
        <v>9356.4421885166212</v>
      </c>
      <c r="F52" s="138">
        <f t="shared" ref="F52:F55" si="18">E52/$E$57</f>
        <v>0.48169655233091435</v>
      </c>
      <c r="G52" s="140">
        <f t="shared" ref="G52:G55" si="19">C52-E52</f>
        <v>1038.4749012031607</v>
      </c>
      <c r="H52" s="139">
        <f>(C52/E52)-1</f>
        <v>0.11099036153696384</v>
      </c>
      <c r="I52" s="151"/>
      <c r="K52" s="20" t="s">
        <v>238</v>
      </c>
      <c r="L52" s="86">
        <f>'[17]YTD''24 Vs YTD''23 &amp; Bud'!$K$9*3.6726*(('2024 IR Data Book'!$A$5))</f>
        <v>28935.919041163179</v>
      </c>
      <c r="M52" s="138">
        <f t="shared" ref="M52:M55" si="20">L52/$L$57</f>
        <v>0.49729914331305514</v>
      </c>
      <c r="N52" s="86">
        <f>'[17]YTD''24 Vs YTD''23 &amp; Bud'!$L$9*3.6726*(('2024 IR Data Book'!$A$5))</f>
        <v>28396.912013138241</v>
      </c>
      <c r="O52" s="138">
        <f>N52/$N$57</f>
        <v>0.45715037203657694</v>
      </c>
      <c r="P52" s="140">
        <f t="shared" ref="P52:P55" si="21">L52-N52</f>
        <v>539.00702802493834</v>
      </c>
      <c r="Q52" s="139">
        <f>(L52/N52)-1</f>
        <v>1.8981184565968201E-2</v>
      </c>
      <c r="U52" s="28"/>
      <c r="W52" s="28"/>
      <c r="X52" s="28"/>
      <c r="Y52" s="28"/>
      <c r="Z52" s="28"/>
    </row>
    <row r="53" spans="2:26" x14ac:dyDescent="0.2">
      <c r="B53" s="20" t="s">
        <v>239</v>
      </c>
      <c r="C53" s="86">
        <f>'[17]Q3''24 Vs Q3''23 &amp; Bud'!$K$10*3.6726*(('2024 IR Data Book'!$A$5))</f>
        <v>4749.9532093894022</v>
      </c>
      <c r="D53" s="138">
        <f t="shared" si="17"/>
        <v>0.22035322107238667</v>
      </c>
      <c r="E53" s="86">
        <f>'[17]Q3''24 Vs Q3''23 &amp; Bud'!$L$10*3.6726*(('2024 IR Data Book'!$A$5))</f>
        <v>3491.0474537587224</v>
      </c>
      <c r="F53" s="138">
        <f t="shared" si="18"/>
        <v>0.17972916292510113</v>
      </c>
      <c r="G53" s="81">
        <f t="shared" si="19"/>
        <v>1258.9057556306798</v>
      </c>
      <c r="H53" s="82">
        <f>(C53/E53)-1</f>
        <v>0.36060975174520982</v>
      </c>
      <c r="I53" s="151"/>
      <c r="K53" s="20" t="s">
        <v>239</v>
      </c>
      <c r="L53" s="86">
        <f>'[17]YTD''24 Vs YTD''23 &amp; Bud'!$K$10*3.6726*(('2024 IR Data Book'!$A$5))</f>
        <v>10927.34392559241</v>
      </c>
      <c r="M53" s="138">
        <f t="shared" si="20"/>
        <v>0.18779976420150288</v>
      </c>
      <c r="N53" s="86">
        <f>'[17]YTD''24 Vs YTD''23 &amp; Bud'!$L$10*3.6726*(('2024 IR Data Book'!$A$5))</f>
        <v>14513.425536569059</v>
      </c>
      <c r="O53" s="138">
        <f>N53/$N$57</f>
        <v>0.23364575276699126</v>
      </c>
      <c r="P53" s="81">
        <f t="shared" si="21"/>
        <v>-3586.0816109766492</v>
      </c>
      <c r="Q53" s="82">
        <f>(L53/N53)-1</f>
        <v>-0.2470871953654844</v>
      </c>
      <c r="U53" s="28"/>
      <c r="W53" s="28"/>
      <c r="X53" s="28"/>
      <c r="Y53" s="28"/>
      <c r="Z53" s="28"/>
    </row>
    <row r="54" spans="2:26" x14ac:dyDescent="0.2">
      <c r="B54" s="20" t="s">
        <v>240</v>
      </c>
      <c r="C54" s="86">
        <f>'[17]Q3''24 Vs Q3''23 &amp; Bud'!$K$11*3.6726*(('2024 IR Data Book'!$A$5))</f>
        <v>687.6307719583217</v>
      </c>
      <c r="D54" s="138">
        <f t="shared" si="17"/>
        <v>3.1899610128788149E-2</v>
      </c>
      <c r="E54" s="86">
        <f>'[17]Q3''24 Vs Q3''23 &amp; Bud'!$L$11*3.6726*(('2024 IR Data Book'!$A$5))</f>
        <v>760.53598814476538</v>
      </c>
      <c r="F54" s="138">
        <f t="shared" si="18"/>
        <v>3.9154579917411933E-2</v>
      </c>
      <c r="G54" s="140">
        <f t="shared" si="19"/>
        <v>-72.905216186443681</v>
      </c>
      <c r="H54" s="139">
        <f>(C54/E54)-1</f>
        <v>-9.5860310784617875E-2</v>
      </c>
      <c r="I54" s="151"/>
      <c r="K54" s="20" t="s">
        <v>240</v>
      </c>
      <c r="L54" s="86">
        <f>'[17]YTD''24 Vs YTD''23 &amp; Bud'!$K$11*3.6726*(('2024 IR Data Book'!$A$5))</f>
        <v>2033.3735372948445</v>
      </c>
      <c r="M54" s="138">
        <f t="shared" si="20"/>
        <v>3.4946010067752602E-2</v>
      </c>
      <c r="N54" s="86">
        <f>'[17]YTD''24 Vs YTD''23 &amp; Bud'!$L$11*3.6726*(('2024 IR Data Book'!$A$5))</f>
        <v>2310.5642073304093</v>
      </c>
      <c r="O54" s="138">
        <f>N54/$N$57</f>
        <v>3.7196836279479756E-2</v>
      </c>
      <c r="P54" s="140">
        <f t="shared" si="21"/>
        <v>-277.19067003556484</v>
      </c>
      <c r="Q54" s="139">
        <f>(L54/N54)-1</f>
        <v>-0.11996665972586262</v>
      </c>
      <c r="U54" s="28"/>
      <c r="W54" s="28"/>
      <c r="X54" s="28"/>
      <c r="Y54" s="28"/>
      <c r="Z54" s="28"/>
    </row>
    <row r="55" spans="2:26" x14ac:dyDescent="0.2">
      <c r="B55" s="20" t="s">
        <v>241</v>
      </c>
      <c r="C55" s="86">
        <f>'[17]Q3''24 Vs Q3''23 &amp; Bud'!$K$12*3.6726*(('2024 IR Data Book'!$A$5))</f>
        <v>1247.7478235249673</v>
      </c>
      <c r="D55" s="138">
        <f t="shared" si="17"/>
        <v>5.7883781140473614E-2</v>
      </c>
      <c r="E55" s="86">
        <f>'[17]Q3''24 Vs Q3''23 &amp; Bud'!$L$12*3.6726*(('2024 IR Data Book'!$A$5))</f>
        <v>935.42248953207161</v>
      </c>
      <c r="F55" s="138">
        <f t="shared" si="18"/>
        <v>4.8158239970041074E-2</v>
      </c>
      <c r="G55" s="140">
        <f t="shared" si="19"/>
        <v>312.32533399289571</v>
      </c>
      <c r="H55" s="139">
        <f>(C55/E55)-1</f>
        <v>0.3338869200687391</v>
      </c>
      <c r="I55" s="151"/>
      <c r="K55" s="20" t="s">
        <v>241</v>
      </c>
      <c r="L55" s="86">
        <f>'[17]YTD''24 Vs YTD''23 &amp; Bud'!$K$12*3.6726*(('2024 IR Data Book'!$A$5))</f>
        <v>2889.6016552632245</v>
      </c>
      <c r="M55" s="138">
        <f t="shared" si="20"/>
        <v>4.9661337026626631E-2</v>
      </c>
      <c r="N55" s="86">
        <f>'[17]YTD''24 Vs YTD''23 &amp; Bud'!$L$12*3.6726*(('2024 IR Data Book'!$A$5))</f>
        <v>2386.3346045533649</v>
      </c>
      <c r="O55" s="138">
        <f>N55/$N$57</f>
        <v>3.8416633180769849E-2</v>
      </c>
      <c r="P55" s="140">
        <f t="shared" si="21"/>
        <v>503.26705070985963</v>
      </c>
      <c r="Q55" s="139">
        <f>(L55/N55)-1</f>
        <v>0.21089542503787007</v>
      </c>
      <c r="U55" s="28"/>
      <c r="W55" s="28"/>
      <c r="X55" s="28"/>
      <c r="Y55" s="28"/>
      <c r="Z55" s="28"/>
    </row>
    <row r="56" spans="2:26" x14ac:dyDescent="0.2">
      <c r="C56" s="86"/>
      <c r="D56" s="138"/>
      <c r="E56" s="86"/>
      <c r="F56" s="138"/>
      <c r="G56" s="140"/>
      <c r="H56" s="139"/>
      <c r="I56" s="151"/>
      <c r="L56" s="86"/>
      <c r="M56" s="138"/>
      <c r="N56" s="86"/>
      <c r="O56" s="138"/>
      <c r="P56" s="140"/>
      <c r="Q56" s="139"/>
      <c r="U56" s="28"/>
      <c r="W56" s="28"/>
      <c r="X56" s="28"/>
      <c r="Y56" s="28"/>
      <c r="Z56" s="28"/>
    </row>
    <row r="57" spans="2:26" x14ac:dyDescent="0.2">
      <c r="B57" s="71" t="s">
        <v>242</v>
      </c>
      <c r="C57" s="87">
        <f>SUM(C51:C55)</f>
        <v>21556.087023701955</v>
      </c>
      <c r="D57" s="138">
        <f>C57/$C$57</f>
        <v>1</v>
      </c>
      <c r="E57" s="87">
        <f>SUM(E51:E55)</f>
        <v>19423.93430727518</v>
      </c>
      <c r="F57" s="138">
        <f>E57/$E$57</f>
        <v>1</v>
      </c>
      <c r="G57" s="141">
        <f>C57-E57</f>
        <v>2132.1527164267754</v>
      </c>
      <c r="H57" s="142">
        <f>(C57/E57)-1</f>
        <v>0.1097693537620843</v>
      </c>
      <c r="I57" s="221">
        <f>C57/$C$201</f>
        <v>4.9716822474236803E-2</v>
      </c>
      <c r="K57" s="71" t="s">
        <v>242</v>
      </c>
      <c r="L57" s="87">
        <f>SUM(L51:L55)</f>
        <v>58186.142948868321</v>
      </c>
      <c r="M57" s="138">
        <f>L57/$L$57</f>
        <v>1</v>
      </c>
      <c r="N57" s="87">
        <f>SUM(N51:N55)</f>
        <v>62117.223894255483</v>
      </c>
      <c r="O57" s="138">
        <f>N57/$N$57</f>
        <v>1</v>
      </c>
      <c r="P57" s="141">
        <f>L57-N57</f>
        <v>-3931.0809453871625</v>
      </c>
      <c r="Q57" s="142">
        <f>(L57/N57)-1</f>
        <v>-6.3284878153588964E-2</v>
      </c>
      <c r="U57" s="28"/>
      <c r="W57" s="28"/>
      <c r="X57" s="28"/>
      <c r="Y57" s="28"/>
      <c r="Z57" s="28"/>
    </row>
    <row r="58" spans="2:26" x14ac:dyDescent="0.2">
      <c r="C58" s="86"/>
      <c r="D58" s="143"/>
      <c r="E58" s="86"/>
      <c r="F58" s="143"/>
      <c r="G58" s="171"/>
      <c r="H58" s="139"/>
      <c r="I58" s="221">
        <f>E57/$E$201</f>
        <v>5.285434883005545E-2</v>
      </c>
      <c r="L58" s="86"/>
      <c r="M58" s="143"/>
      <c r="N58" s="86"/>
      <c r="O58" s="143"/>
      <c r="P58" s="171"/>
      <c r="Q58" s="139"/>
      <c r="U58" s="28"/>
      <c r="W58" s="28"/>
      <c r="X58" s="28"/>
      <c r="Y58" s="28"/>
      <c r="Z58" s="28"/>
    </row>
    <row r="59" spans="2:26" x14ac:dyDescent="0.2">
      <c r="B59" s="71" t="s">
        <v>42</v>
      </c>
      <c r="C59" s="87">
        <f>'[17]Q3''24 Vs Q3''23 &amp; Bud'!$K$16*3.6726*(('2024 IR Data Book'!$A$5))</f>
        <v>7693.8896556568852</v>
      </c>
      <c r="D59" s="138">
        <f>C59/$C$57</f>
        <v>0.35692422503198673</v>
      </c>
      <c r="E59" s="87">
        <f>'[17]Q3''24 Vs Q3''23 &amp; Bud'!$L$16*3.6726*(('2024 IR Data Book'!$A$5))</f>
        <v>7365.0925101497505</v>
      </c>
      <c r="F59" s="138">
        <f>E59/$E$57</f>
        <v>0.3791761439077343</v>
      </c>
      <c r="G59" s="141">
        <f>C59-E59</f>
        <v>328.7971455071347</v>
      </c>
      <c r="H59" s="142">
        <f>(C59/E59)-1</f>
        <v>4.4642636199616392E-2</v>
      </c>
      <c r="I59" s="151"/>
      <c r="K59" s="71" t="s">
        <v>42</v>
      </c>
      <c r="L59" s="87">
        <f>'[17]YTD''24 Vs YTD''23 &amp; Bud'!$K$16*3.6726*(('2024 IR Data Book'!$A$5))</f>
        <v>20694.671159394125</v>
      </c>
      <c r="M59" s="138">
        <f>L59/$L$57</f>
        <v>0.35566322341695311</v>
      </c>
      <c r="N59" s="87">
        <f>'[17]YTD''24 Vs YTD''23 &amp; Bud'!$L$16*3.6726*(('2024 IR Data Book'!$A$5))</f>
        <v>22082.775501492459</v>
      </c>
      <c r="O59" s="138">
        <f>N59/$N$57</f>
        <v>0.35550164861013123</v>
      </c>
      <c r="P59" s="141">
        <f>L59-N59</f>
        <v>-1388.1043420983333</v>
      </c>
      <c r="Q59" s="142">
        <f>(L59/N59)-1</f>
        <v>-6.2859142955310032E-2</v>
      </c>
      <c r="U59" s="28"/>
      <c r="W59" s="28"/>
      <c r="X59" s="28"/>
      <c r="Y59" s="28"/>
      <c r="Z59" s="28"/>
    </row>
    <row r="60" spans="2:26" x14ac:dyDescent="0.2">
      <c r="I60" s="151"/>
      <c r="U60" s="28"/>
      <c r="W60" s="28"/>
      <c r="X60" s="28"/>
      <c r="Y60" s="28"/>
      <c r="Z60" s="28"/>
    </row>
    <row r="61" spans="2:26" x14ac:dyDescent="0.2">
      <c r="B61" s="71" t="s">
        <v>243</v>
      </c>
      <c r="C61" s="150" t="str">
        <f>$C$6</f>
        <v>Q3'24</v>
      </c>
      <c r="D61" s="135"/>
      <c r="E61" s="150" t="str">
        <f>$E$6</f>
        <v>Q3'23</v>
      </c>
      <c r="G61" s="170" t="s">
        <v>236</v>
      </c>
      <c r="H61" s="150" t="s">
        <v>38</v>
      </c>
      <c r="I61" s="151"/>
      <c r="K61" s="71" t="s">
        <v>243</v>
      </c>
      <c r="L61" s="150" t="str">
        <f>$L$6</f>
        <v>Sep'24 YTD</v>
      </c>
      <c r="M61" s="135"/>
      <c r="N61" s="150" t="str">
        <f>$N$6</f>
        <v>Sep'23 YTD</v>
      </c>
      <c r="P61" s="170" t="s">
        <v>236</v>
      </c>
      <c r="Q61" s="150" t="s">
        <v>38</v>
      </c>
      <c r="U61" s="28"/>
      <c r="W61" s="28"/>
      <c r="X61" s="28"/>
      <c r="Y61" s="28"/>
      <c r="Z61" s="28"/>
    </row>
    <row r="62" spans="2:26" x14ac:dyDescent="0.2">
      <c r="B62" s="20" t="s">
        <v>238</v>
      </c>
      <c r="C62" s="83">
        <f>'[18]Regional Volumes '!$I$52</f>
        <v>1289267</v>
      </c>
      <c r="D62" s="83"/>
      <c r="E62" s="83">
        <f>'[18]Regional Volumes '!$J$52</f>
        <v>1346083</v>
      </c>
      <c r="F62" s="89"/>
      <c r="G62" s="140">
        <f t="shared" ref="G62:G64" si="22">C62-E62</f>
        <v>-56816</v>
      </c>
      <c r="H62" s="139">
        <f t="shared" ref="H62:H64" si="23">(C62/E62)-1</f>
        <v>-4.2208392795986538E-2</v>
      </c>
      <c r="I62" s="152"/>
      <c r="K62" s="20" t="s">
        <v>238</v>
      </c>
      <c r="L62" s="83">
        <f>'[18]Regional Volumes '!$O$52</f>
        <v>3657815</v>
      </c>
      <c r="M62" s="83"/>
      <c r="N62" s="83">
        <f>'[18]Regional Volumes '!$P$52</f>
        <v>4016237</v>
      </c>
      <c r="O62" s="89"/>
      <c r="P62" s="140">
        <f t="shared" ref="P62:P64" si="24">L62-N62</f>
        <v>-358422</v>
      </c>
      <c r="Q62" s="139">
        <f t="shared" ref="Q62:Q64" si="25">(L62/N62)-1</f>
        <v>-8.924323938054457E-2</v>
      </c>
      <c r="U62" s="28"/>
      <c r="W62" s="28"/>
      <c r="X62" s="28"/>
      <c r="Y62" s="28"/>
      <c r="Z62" s="28"/>
    </row>
    <row r="63" spans="2:26" x14ac:dyDescent="0.2">
      <c r="B63" s="20" t="s">
        <v>237</v>
      </c>
      <c r="C63" s="251">
        <f>'[18]Regional Volumes '!$I$26+'[18]Regional Volumes '!$I$39</f>
        <v>53818</v>
      </c>
      <c r="D63" s="252"/>
      <c r="E63" s="251">
        <f>'[18]Regional Volumes '!$J$26+'[18]Regional Volumes '!$J$39</f>
        <v>70155</v>
      </c>
      <c r="F63" s="144"/>
      <c r="G63" s="140">
        <f t="shared" si="22"/>
        <v>-16337</v>
      </c>
      <c r="H63" s="139">
        <f t="shared" si="23"/>
        <v>-0.23287007340888033</v>
      </c>
      <c r="I63" s="151"/>
      <c r="J63" s="133"/>
      <c r="K63" s="20" t="s">
        <v>237</v>
      </c>
      <c r="L63" s="251">
        <f>'[18]Regional Volumes '!$O$26+'[18]Regional Volumes '!$O$39</f>
        <v>170892</v>
      </c>
      <c r="M63" s="252"/>
      <c r="N63" s="251">
        <f>'[18]Regional Volumes '!$P$26+'[18]Regional Volumes '!$P$39</f>
        <v>213690</v>
      </c>
      <c r="O63" s="144"/>
      <c r="P63" s="140">
        <f t="shared" si="24"/>
        <v>-42798</v>
      </c>
      <c r="Q63" s="139">
        <f t="shared" si="25"/>
        <v>-0.20028078056998455</v>
      </c>
      <c r="U63" s="28"/>
      <c r="W63" s="28"/>
      <c r="X63" s="28"/>
      <c r="Y63" s="28"/>
      <c r="Z63" s="28"/>
    </row>
    <row r="64" spans="2:26" x14ac:dyDescent="0.2">
      <c r="B64" s="146"/>
      <c r="C64" s="250">
        <f>C63+C62</f>
        <v>1343085</v>
      </c>
      <c r="D64" s="250"/>
      <c r="E64" s="250">
        <f>E63+E62</f>
        <v>1416238</v>
      </c>
      <c r="F64" s="146"/>
      <c r="G64" s="247">
        <f t="shared" si="22"/>
        <v>-73153</v>
      </c>
      <c r="H64" s="248">
        <f t="shared" si="23"/>
        <v>-5.1653041367340835E-2</v>
      </c>
      <c r="I64" s="153"/>
      <c r="J64" s="133"/>
      <c r="K64" s="146"/>
      <c r="L64" s="250">
        <f>L63+L62</f>
        <v>3828707</v>
      </c>
      <c r="M64" s="250"/>
      <c r="N64" s="250">
        <f>N63+N62</f>
        <v>4229927</v>
      </c>
      <c r="O64" s="146"/>
      <c r="P64" s="247">
        <f t="shared" si="24"/>
        <v>-401220</v>
      </c>
      <c r="Q64" s="248">
        <f t="shared" si="25"/>
        <v>-9.4852700767649178E-2</v>
      </c>
      <c r="U64" s="28"/>
      <c r="W64" s="28"/>
      <c r="X64" s="28"/>
      <c r="Y64" s="28"/>
      <c r="Z64" s="28"/>
    </row>
    <row r="65" spans="2:26" x14ac:dyDescent="0.2">
      <c r="I65" s="151"/>
      <c r="U65" s="28"/>
      <c r="W65" s="28"/>
      <c r="X65" s="28"/>
      <c r="Y65" s="28"/>
      <c r="Z65" s="28"/>
    </row>
    <row r="66" spans="2:26" x14ac:dyDescent="0.2">
      <c r="B66" s="71" t="s">
        <v>246</v>
      </c>
      <c r="I66" s="151"/>
      <c r="K66" s="71" t="s">
        <v>246</v>
      </c>
      <c r="U66" s="28"/>
      <c r="W66" s="28"/>
      <c r="X66" s="28"/>
      <c r="Y66" s="28"/>
      <c r="Z66" s="28"/>
    </row>
    <row r="67" spans="2:26" x14ac:dyDescent="0.2">
      <c r="B67" s="58" t="str">
        <f>$B$3</f>
        <v>Q3'24 vs Q3'23</v>
      </c>
      <c r="I67" s="151"/>
      <c r="K67" s="58" t="str">
        <f>$K$3</f>
        <v>Sep'24 YTD vs Sep'23 YTD</v>
      </c>
      <c r="U67" s="28"/>
      <c r="W67" s="28"/>
      <c r="X67" s="28"/>
      <c r="Y67" s="28"/>
      <c r="Z67" s="28"/>
    </row>
    <row r="68" spans="2:26" x14ac:dyDescent="0.2">
      <c r="B68" s="50" t="s">
        <v>233</v>
      </c>
      <c r="I68" s="151"/>
      <c r="K68" s="50" t="s">
        <v>234</v>
      </c>
      <c r="U68" s="28"/>
      <c r="W68" s="28"/>
      <c r="X68" s="28"/>
      <c r="Y68" s="28"/>
      <c r="Z68" s="28"/>
    </row>
    <row r="69" spans="2:26" x14ac:dyDescent="0.2">
      <c r="C69" s="150" t="s">
        <v>235</v>
      </c>
      <c r="D69" s="135"/>
      <c r="E69" s="150" t="s">
        <v>235</v>
      </c>
      <c r="I69" s="151"/>
      <c r="L69" s="150" t="s">
        <v>235</v>
      </c>
      <c r="M69" s="135"/>
      <c r="N69" s="150" t="s">
        <v>235</v>
      </c>
      <c r="U69" s="28"/>
      <c r="W69" s="28"/>
      <c r="X69" s="28"/>
      <c r="Y69" s="28"/>
      <c r="Z69" s="28"/>
    </row>
    <row r="70" spans="2:26" x14ac:dyDescent="0.2">
      <c r="B70" s="136"/>
      <c r="C70" s="150" t="str">
        <f>$C$6</f>
        <v>Q3'24</v>
      </c>
      <c r="D70" s="135"/>
      <c r="E70" s="150" t="str">
        <f>$E$6</f>
        <v>Q3'23</v>
      </c>
      <c r="G70" s="170" t="s">
        <v>236</v>
      </c>
      <c r="H70" s="150" t="s">
        <v>38</v>
      </c>
      <c r="I70" s="151"/>
      <c r="K70" s="136"/>
      <c r="L70" s="150" t="str">
        <f>$L$6</f>
        <v>Sep'24 YTD</v>
      </c>
      <c r="M70" s="135"/>
      <c r="N70" s="150" t="str">
        <f>$N$6</f>
        <v>Sep'23 YTD</v>
      </c>
      <c r="P70" s="170" t="s">
        <v>236</v>
      </c>
      <c r="Q70" s="150" t="s">
        <v>38</v>
      </c>
      <c r="U70" s="28"/>
      <c r="W70" s="28"/>
      <c r="X70" s="28"/>
      <c r="Y70" s="28"/>
      <c r="Z70" s="28"/>
    </row>
    <row r="71" spans="2:26" x14ac:dyDescent="0.2">
      <c r="H71" s="137"/>
      <c r="I71" s="151"/>
      <c r="Q71" s="137"/>
      <c r="U71" s="28"/>
      <c r="W71" s="28"/>
      <c r="X71" s="28"/>
      <c r="Y71" s="28"/>
      <c r="Z71" s="28"/>
    </row>
    <row r="72" spans="2:26" x14ac:dyDescent="0.2">
      <c r="B72" s="20" t="s">
        <v>237</v>
      </c>
      <c r="C72" s="86">
        <f>'[17]Q3''24 Vs Q3''23 &amp; Bud'!$O$8*3.6726*(('2024 IR Data Book'!$A$5))</f>
        <v>17355.755869516557</v>
      </c>
      <c r="D72" s="138">
        <f>C72/$C$78</f>
        <v>0.40482122816033622</v>
      </c>
      <c r="E72" s="86">
        <f>'[17]Q3''24 Vs Q3''23 &amp; Bud'!$P$8*3.6726*(('2024 IR Data Book'!$A$5))</f>
        <v>20203.206361952904</v>
      </c>
      <c r="F72" s="138">
        <f>E72/$E$78</f>
        <v>0.46163874990980136</v>
      </c>
      <c r="G72" s="140">
        <f>C72-E72</f>
        <v>-2847.4504924363464</v>
      </c>
      <c r="H72" s="139">
        <f>(C72/E72)-1</f>
        <v>-0.14094052406447344</v>
      </c>
      <c r="I72" s="151"/>
      <c r="K72" s="20" t="s">
        <v>237</v>
      </c>
      <c r="L72" s="86">
        <f>'[17]YTD''24 Vs YTD''23 &amp; Bud'!$O$8*3.6726*(('2024 IR Data Book'!$A$5))</f>
        <v>58221.274057374387</v>
      </c>
      <c r="M72" s="138">
        <f>L72/$L$78</f>
        <v>0.44349263026332253</v>
      </c>
      <c r="N72" s="86">
        <f>'[17]YTD''24 Vs YTD''23 &amp; Bud'!$P$8*3.6726*(('2024 IR Data Book'!$A$5))</f>
        <v>76148.130116326283</v>
      </c>
      <c r="O72" s="138">
        <f>N72/$N$78</f>
        <v>0.51231778694494989</v>
      </c>
      <c r="P72" s="140">
        <f>L72-N72</f>
        <v>-17926.856058951897</v>
      </c>
      <c r="Q72" s="139">
        <f>(L72/N72)-1</f>
        <v>-0.23542083084070831</v>
      </c>
      <c r="U72" s="28"/>
      <c r="W72" s="28"/>
      <c r="X72" s="28"/>
      <c r="Y72" s="28"/>
      <c r="Z72" s="28"/>
    </row>
    <row r="73" spans="2:26" x14ac:dyDescent="0.2">
      <c r="B73" s="20" t="s">
        <v>238</v>
      </c>
      <c r="C73" s="86">
        <f>'[17]Q3''24 Vs Q3''23 &amp; Bud'!$O$9*3.6726*(('2024 IR Data Book'!$A$5))</f>
        <v>71.050775481182654</v>
      </c>
      <c r="D73" s="138">
        <f t="shared" ref="D73:D76" si="26">C73/$C$78</f>
        <v>1.6572520614072138E-3</v>
      </c>
      <c r="E73" s="253">
        <f>'[17]Q3''24 Vs Q3''23 &amp; Bud'!$P$9*3.6726*(('2024 IR Data Book'!$A$5))</f>
        <v>177.97492239176162</v>
      </c>
      <c r="F73" s="138">
        <f t="shared" ref="F73:F76" si="27">E73/$E$78</f>
        <v>4.066687198867225E-3</v>
      </c>
      <c r="G73" s="140">
        <f t="shared" ref="G73:G76" si="28">C73-E73</f>
        <v>-106.92414691057897</v>
      </c>
      <c r="H73" s="139">
        <f>(C73/E73)-1</f>
        <v>-0.60078209600347854</v>
      </c>
      <c r="I73" s="151"/>
      <c r="K73" s="20" t="s">
        <v>238</v>
      </c>
      <c r="L73" s="86">
        <f>'[17]YTD''24 Vs YTD''23 &amp; Bud'!$O$9*3.6726*(('2024 IR Data Book'!$A$5))</f>
        <v>248.5572310479198</v>
      </c>
      <c r="M73" s="138">
        <f t="shared" ref="M73:M76" si="29">L73/$L$78</f>
        <v>1.893350874798454E-3</v>
      </c>
      <c r="N73" s="253">
        <f>'[17]YTD''24 Vs YTD''23 &amp; Bud'!$P$9*3.6726*(('2024 IR Data Book'!$A$5))</f>
        <v>6632.1539312441537</v>
      </c>
      <c r="O73" s="138">
        <f>N73/$N$78</f>
        <v>4.4620536571846392E-2</v>
      </c>
      <c r="P73" s="140">
        <f t="shared" ref="P73:P76" si="30">L73-N73</f>
        <v>-6383.5967001962335</v>
      </c>
      <c r="Q73" s="139">
        <f>(L73/N73)-1</f>
        <v>-0.96252239715411858</v>
      </c>
      <c r="U73" s="28"/>
      <c r="W73" s="28"/>
      <c r="X73" s="28"/>
      <c r="Y73" s="28"/>
      <c r="Z73" s="28"/>
    </row>
    <row r="74" spans="2:26" x14ac:dyDescent="0.2">
      <c r="B74" s="20" t="s">
        <v>239</v>
      </c>
      <c r="C74" s="86">
        <f>'[17]Q3''24 Vs Q3''23 &amp; Bud'!$O$10*3.6726*(('2024 IR Data Book'!$A$5))</f>
        <v>21790.369754471052</v>
      </c>
      <c r="D74" s="138">
        <f t="shared" si="26"/>
        <v>0.5082581428542835</v>
      </c>
      <c r="E74" s="253">
        <f>('[17]Q3''24 Vs Q3''23 &amp; Bud'!$P$10*3.6726*(('2024 IR Data Book'!$A$5)))</f>
        <v>19902.194809859331</v>
      </c>
      <c r="F74" s="138">
        <f t="shared" si="27"/>
        <v>0.45476070322120371</v>
      </c>
      <c r="G74" s="81">
        <f t="shared" si="28"/>
        <v>1888.174944611721</v>
      </c>
      <c r="H74" s="82">
        <f>(C74/E74)-1</f>
        <v>9.4872699350542877E-2</v>
      </c>
      <c r="I74" s="151"/>
      <c r="K74" s="20" t="s">
        <v>239</v>
      </c>
      <c r="L74" s="86">
        <f>'[17]YTD''24 Vs YTD''23 &amp; Bud'!$O$10*3.6726*(('2024 IR Data Book'!$A$5))</f>
        <v>62010.246418640942</v>
      </c>
      <c r="M74" s="138">
        <f t="shared" si="29"/>
        <v>0.47235461148409069</v>
      </c>
      <c r="N74" s="253">
        <f>('[17]YTD''24 Vs YTD''23 &amp; Bud'!$P$10*3.6726*(('2024 IR Data Book'!$A$5)))</f>
        <v>55205.105956192543</v>
      </c>
      <c r="O74" s="138">
        <f>N74/$N$78</f>
        <v>0.37141499953226315</v>
      </c>
      <c r="P74" s="81">
        <f t="shared" si="30"/>
        <v>6805.1404624483985</v>
      </c>
      <c r="Q74" s="82">
        <f>(L74/N74)-1</f>
        <v>0.12327012772783275</v>
      </c>
      <c r="U74" s="28"/>
      <c r="W74" s="28"/>
      <c r="X74" s="28"/>
      <c r="Y74" s="28"/>
      <c r="Z74" s="28"/>
    </row>
    <row r="75" spans="2:26" x14ac:dyDescent="0.2">
      <c r="B75" s="20" t="s">
        <v>240</v>
      </c>
      <c r="C75" s="86">
        <f>'[17]Q3''24 Vs Q3''23 &amp; Bud'!$O$11*3.6726*(('2024 IR Data Book'!$A$5))</f>
        <v>3272.3217660832038</v>
      </c>
      <c r="D75" s="138">
        <f t="shared" si="26"/>
        <v>7.6326570057850346E-2</v>
      </c>
      <c r="E75" s="86">
        <f>'[17]Q3''24 Vs Q3''23 &amp; Bud'!$P$11*3.6726*(('2024 IR Data Book'!$A$5))</f>
        <v>3244.1000287880452</v>
      </c>
      <c r="F75" s="138">
        <f t="shared" si="27"/>
        <v>7.4126960594352961E-2</v>
      </c>
      <c r="G75" s="140">
        <f t="shared" si="28"/>
        <v>28.221737295158619</v>
      </c>
      <c r="H75" s="139">
        <f>(C75/E75)-1</f>
        <v>8.6994041628556396E-3</v>
      </c>
      <c r="I75" s="151"/>
      <c r="K75" s="20" t="s">
        <v>240</v>
      </c>
      <c r="L75" s="86">
        <f>'[17]YTD''24 Vs YTD''23 &amp; Bud'!$O$11*3.6726*(('2024 IR Data Book'!$A$5))</f>
        <v>9902.9356533278715</v>
      </c>
      <c r="M75" s="138">
        <f t="shared" si="29"/>
        <v>7.5434264387529842E-2</v>
      </c>
      <c r="N75" s="86">
        <f>'[17]YTD''24 Vs YTD''23 &amp; Bud'!$P$11*3.6726*(('2024 IR Data Book'!$A$5))</f>
        <v>9913.7376330349398</v>
      </c>
      <c r="O75" s="138">
        <f>N75/$N$78</f>
        <v>6.6698737273660033E-2</v>
      </c>
      <c r="P75" s="140">
        <f t="shared" si="30"/>
        <v>-10.801979707068313</v>
      </c>
      <c r="Q75" s="139">
        <f>(L75/N75)-1</f>
        <v>-1.0895970931360521E-3</v>
      </c>
      <c r="U75" s="28"/>
      <c r="W75" s="28"/>
      <c r="X75" s="28"/>
      <c r="Y75" s="28"/>
      <c r="Z75" s="28"/>
    </row>
    <row r="76" spans="2:26" x14ac:dyDescent="0.2">
      <c r="B76" s="20" t="s">
        <v>241</v>
      </c>
      <c r="C76" s="86">
        <f>'[17]Q3''24 Vs Q3''23 &amp; Bud'!$O$12*3.6726*(('2024 IR Data Book'!$A$5))</f>
        <v>383.14452758889087</v>
      </c>
      <c r="D76" s="138">
        <f t="shared" si="26"/>
        <v>8.936806866122797E-3</v>
      </c>
      <c r="E76" s="86">
        <f>'[17]Q3''24 Vs Q3''23 &amp; Bud'!$P$12*3.6726*(('2024 IR Data Book'!$A$5))</f>
        <v>236.62809464646236</v>
      </c>
      <c r="F76" s="138">
        <f t="shared" si="27"/>
        <v>5.4068990757748167E-3</v>
      </c>
      <c r="G76" s="140">
        <f t="shared" si="28"/>
        <v>146.51643294242851</v>
      </c>
      <c r="H76" s="139">
        <f>(C76/E76)-1</f>
        <v>0.61918443438144366</v>
      </c>
      <c r="I76" s="151"/>
      <c r="K76" s="20" t="s">
        <v>241</v>
      </c>
      <c r="L76" s="86">
        <f>'[17]YTD''24 Vs YTD''23 &amp; Bud'!$O$12*3.6726*(('2024 IR Data Book'!$A$5))</f>
        <v>895.99802432041133</v>
      </c>
      <c r="M76" s="138">
        <f t="shared" si="29"/>
        <v>6.825142990258359E-3</v>
      </c>
      <c r="N76" s="86">
        <f>'[17]YTD''24 Vs YTD''23 &amp; Bud'!$P$12*3.6726*(('2024 IR Data Book'!$A$5))</f>
        <v>735.43484913937743</v>
      </c>
      <c r="O76" s="138">
        <f>N76/$N$78</f>
        <v>4.9479396772803682E-3</v>
      </c>
      <c r="P76" s="140">
        <f t="shared" si="30"/>
        <v>160.5631751810339</v>
      </c>
      <c r="Q76" s="139">
        <f>(L76/N76)-1</f>
        <v>0.21832413213614843</v>
      </c>
      <c r="U76" s="28"/>
      <c r="W76" s="28"/>
      <c r="X76" s="28"/>
      <c r="Y76" s="28"/>
      <c r="Z76" s="28"/>
    </row>
    <row r="77" spans="2:26" x14ac:dyDescent="0.2">
      <c r="C77" s="86"/>
      <c r="D77" s="138"/>
      <c r="E77" s="86"/>
      <c r="F77" s="138"/>
      <c r="G77" s="140"/>
      <c r="H77" s="139"/>
      <c r="I77" s="151"/>
      <c r="L77" s="86"/>
      <c r="M77" s="138"/>
      <c r="N77" s="86"/>
      <c r="O77" s="138"/>
      <c r="P77" s="140"/>
      <c r="Q77" s="139"/>
      <c r="U77" s="28"/>
      <c r="W77" s="28"/>
      <c r="X77" s="28"/>
      <c r="Y77" s="28"/>
      <c r="Z77" s="28"/>
    </row>
    <row r="78" spans="2:26" x14ac:dyDescent="0.2">
      <c r="B78" s="71" t="s">
        <v>242</v>
      </c>
      <c r="C78" s="87">
        <f>SUM(C72:C76)</f>
        <v>42872.642693140886</v>
      </c>
      <c r="D78" s="169">
        <f>C78/$C$78</f>
        <v>1</v>
      </c>
      <c r="E78" s="87">
        <f>SUM(E72:E76)</f>
        <v>43764.104217638502</v>
      </c>
      <c r="F78" s="138">
        <f>E78/$E$78</f>
        <v>1</v>
      </c>
      <c r="G78" s="141">
        <f>C78-E78</f>
        <v>-891.46152449761576</v>
      </c>
      <c r="H78" s="142">
        <f>(C78/E78)-1</f>
        <v>-2.0369696591169495E-2</v>
      </c>
      <c r="I78" s="221">
        <f>C78/$C$201</f>
        <v>9.8881191351314984E-2</v>
      </c>
      <c r="K78" s="71" t="s">
        <v>242</v>
      </c>
      <c r="L78" s="87">
        <f>SUM(L72:L76)</f>
        <v>131279.01138471154</v>
      </c>
      <c r="M78" s="138">
        <f>L78/$L$78</f>
        <v>1</v>
      </c>
      <c r="N78" s="87">
        <f>SUM(N72:N76)</f>
        <v>148634.56248593732</v>
      </c>
      <c r="O78" s="138">
        <f>N78/$N$78</f>
        <v>1</v>
      </c>
      <c r="P78" s="141">
        <f>L78-N78</f>
        <v>-17355.551101225778</v>
      </c>
      <c r="Q78" s="142">
        <f>(L78/N78)-1</f>
        <v>-0.11676659056245975</v>
      </c>
      <c r="U78" s="28"/>
      <c r="W78" s="28"/>
      <c r="X78" s="28"/>
      <c r="Y78" s="28"/>
      <c r="Z78" s="28"/>
    </row>
    <row r="79" spans="2:26" x14ac:dyDescent="0.2">
      <c r="C79" s="86"/>
      <c r="D79" s="143"/>
      <c r="E79" s="86"/>
      <c r="F79" s="143"/>
      <c r="G79" s="171"/>
      <c r="H79" s="139"/>
      <c r="I79" s="221">
        <f>E78/$E$201</f>
        <v>0.11908623628775312</v>
      </c>
      <c r="L79" s="86"/>
      <c r="M79" s="143"/>
      <c r="N79" s="86"/>
      <c r="O79" s="143"/>
      <c r="P79" s="171"/>
      <c r="Q79" s="139"/>
      <c r="U79" s="28"/>
      <c r="W79" s="28"/>
      <c r="X79" s="28"/>
      <c r="Y79" s="28"/>
      <c r="Z79" s="28"/>
    </row>
    <row r="80" spans="2:26" x14ac:dyDescent="0.2">
      <c r="B80" s="71" t="s">
        <v>42</v>
      </c>
      <c r="C80" s="87">
        <f>'[17]Q3''24 Vs Q3''23 &amp; Bud'!$O$16*3.6726*(('2024 IR Data Book'!$A$5))</f>
        <v>4882.557790255395</v>
      </c>
      <c r="D80" s="138">
        <f>C80/$C$78</f>
        <v>0.1138851604087505</v>
      </c>
      <c r="E80" s="87">
        <f>'[17]Q3''24 Vs Q3''23 &amp; Bud'!$P$16*3.6726*(('2024 IR Data Book'!$A$5))</f>
        <v>6264.4592851435946</v>
      </c>
      <c r="F80" s="138">
        <f>E80/$E$78</f>
        <v>0.14314149454517552</v>
      </c>
      <c r="G80" s="141">
        <f>C80-E80</f>
        <v>-1381.9014948881995</v>
      </c>
      <c r="H80" s="142">
        <f>(C80/E80)-1</f>
        <v>-0.22059389836971754</v>
      </c>
      <c r="I80" s="151"/>
      <c r="K80" s="71" t="s">
        <v>42</v>
      </c>
      <c r="L80" s="87">
        <f>'[17]YTD''24 Vs YTD''23 &amp; Bud'!$O$16*3.6726*(('2024 IR Data Book'!$A$5))</f>
        <v>16329.633607961534</v>
      </c>
      <c r="M80" s="138">
        <f>L80/$L$78</f>
        <v>0.12438876127812802</v>
      </c>
      <c r="N80" s="87">
        <f>'[17]YTD''24 Vs YTD''23 &amp; Bud'!$P$16*3.6726*(('2024 IR Data Book'!$A$5))</f>
        <v>21121.933423631057</v>
      </c>
      <c r="O80" s="138">
        <f>N80/$N$78</f>
        <v>0.14210647288465936</v>
      </c>
      <c r="P80" s="141">
        <f>L80-N80</f>
        <v>-4792.299815669523</v>
      </c>
      <c r="Q80" s="142">
        <f>(L80/N80)-1</f>
        <v>-0.22688736488052441</v>
      </c>
      <c r="U80" s="28"/>
      <c r="W80" s="28"/>
      <c r="X80" s="28"/>
      <c r="Y80" s="28"/>
      <c r="Z80" s="28"/>
    </row>
    <row r="81" spans="2:26" x14ac:dyDescent="0.2">
      <c r="I81" s="151"/>
      <c r="U81" s="28"/>
      <c r="W81" s="28"/>
      <c r="X81" s="28"/>
      <c r="Y81" s="28"/>
      <c r="Z81" s="28"/>
    </row>
    <row r="82" spans="2:26" x14ac:dyDescent="0.2">
      <c r="B82" s="71" t="s">
        <v>243</v>
      </c>
      <c r="C82" s="150" t="str">
        <f>$C$6</f>
        <v>Q3'24</v>
      </c>
      <c r="D82" s="135"/>
      <c r="E82" s="150" t="str">
        <f>$E$6</f>
        <v>Q3'23</v>
      </c>
      <c r="G82" s="170" t="s">
        <v>236</v>
      </c>
      <c r="H82" s="150" t="s">
        <v>38</v>
      </c>
      <c r="I82" s="151"/>
      <c r="K82" s="71" t="s">
        <v>243</v>
      </c>
      <c r="L82" s="150" t="str">
        <f>$L$6</f>
        <v>Sep'24 YTD</v>
      </c>
      <c r="M82" s="135"/>
      <c r="N82" s="150" t="str">
        <f>$N$6</f>
        <v>Sep'23 YTD</v>
      </c>
      <c r="P82" s="170" t="s">
        <v>236</v>
      </c>
      <c r="Q82" s="150" t="s">
        <v>38</v>
      </c>
      <c r="U82" s="28"/>
      <c r="W82" s="28"/>
      <c r="X82" s="28"/>
      <c r="Y82" s="28"/>
      <c r="Z82" s="28"/>
    </row>
    <row r="83" spans="2:26" x14ac:dyDescent="0.2">
      <c r="B83" s="20" t="s">
        <v>238</v>
      </c>
      <c r="C83" s="83">
        <f>'[18]Regional Volumes '!$I$53</f>
        <v>70</v>
      </c>
      <c r="D83" s="83"/>
      <c r="E83" s="83">
        <f>'[18]Regional Volumes '!$J$53</f>
        <v>173</v>
      </c>
      <c r="F83" s="89"/>
      <c r="G83" s="140">
        <f t="shared" ref="G83:G85" si="31">C83-E83</f>
        <v>-103</v>
      </c>
      <c r="H83" s="139">
        <f t="shared" ref="H83:H85" si="32">(C83/E83)-1</f>
        <v>-0.59537572254335258</v>
      </c>
      <c r="I83" s="152"/>
      <c r="K83" s="20" t="s">
        <v>238</v>
      </c>
      <c r="L83" s="83">
        <f>'[18]Regional Volumes '!$O$53</f>
        <v>277</v>
      </c>
      <c r="M83" s="83"/>
      <c r="N83" s="83">
        <f>'[18]Regional Volumes '!$P$53</f>
        <v>7989</v>
      </c>
      <c r="O83" s="89"/>
      <c r="P83" s="140">
        <f t="shared" ref="P83:P85" si="33">L83-N83</f>
        <v>-7712</v>
      </c>
      <c r="Q83" s="139">
        <f t="shared" ref="Q83:Q85" si="34">(L83/N83)-1</f>
        <v>-0.96532732507197394</v>
      </c>
      <c r="U83" s="28"/>
      <c r="W83" s="28"/>
      <c r="X83" s="28"/>
      <c r="Y83" s="28"/>
      <c r="Z83" s="28"/>
    </row>
    <row r="84" spans="2:26" x14ac:dyDescent="0.2">
      <c r="B84" s="20" t="s">
        <v>237</v>
      </c>
      <c r="C84" s="253">
        <f>'[18]Regional Volumes '!$I$27+'[18]Regional Volumes '!$I$40</f>
        <v>1069807</v>
      </c>
      <c r="D84" s="254"/>
      <c r="E84" s="253">
        <f>'[18]Regional Volumes '!$J$27+'[18]Regional Volumes '!$J$40</f>
        <v>937805</v>
      </c>
      <c r="F84" s="144"/>
      <c r="G84" s="140">
        <f t="shared" si="31"/>
        <v>132002</v>
      </c>
      <c r="H84" s="139">
        <f t="shared" si="32"/>
        <v>0.14075634060385678</v>
      </c>
      <c r="I84" s="151"/>
      <c r="K84" s="20" t="s">
        <v>237</v>
      </c>
      <c r="L84" s="253">
        <f>'[18]Regional Volumes '!$O$27+'[18]Regional Volumes '!$O$40</f>
        <v>2723583</v>
      </c>
      <c r="M84" s="254"/>
      <c r="N84" s="253">
        <f>'[18]Regional Volumes '!$P$27+'[18]Regional Volumes '!$P$40</f>
        <v>4042557</v>
      </c>
      <c r="O84" s="144"/>
      <c r="P84" s="140">
        <f t="shared" si="33"/>
        <v>-1318974</v>
      </c>
      <c r="Q84" s="139">
        <f t="shared" si="34"/>
        <v>-0.3262722084067089</v>
      </c>
      <c r="U84" s="28"/>
      <c r="W84" s="28"/>
      <c r="X84" s="28"/>
      <c r="Y84" s="28"/>
      <c r="Z84" s="28"/>
    </row>
    <row r="85" spans="2:26" x14ac:dyDescent="0.2">
      <c r="B85" s="146"/>
      <c r="C85" s="35">
        <f>C84+C83</f>
        <v>1069877</v>
      </c>
      <c r="D85" s="35"/>
      <c r="E85" s="35">
        <f>E84+E83</f>
        <v>937978</v>
      </c>
      <c r="F85" s="146"/>
      <c r="G85" s="247">
        <f t="shared" si="31"/>
        <v>131899</v>
      </c>
      <c r="H85" s="248">
        <f t="shared" si="32"/>
        <v>0.14062056892592367</v>
      </c>
      <c r="I85" s="153"/>
      <c r="K85" s="146"/>
      <c r="L85" s="35">
        <f>L84+L83</f>
        <v>2723860</v>
      </c>
      <c r="M85" s="35"/>
      <c r="N85" s="35">
        <f>N84+N83</f>
        <v>4050546</v>
      </c>
      <c r="O85" s="146"/>
      <c r="P85" s="247">
        <f t="shared" si="33"/>
        <v>-1326686</v>
      </c>
      <c r="Q85" s="248">
        <f t="shared" si="34"/>
        <v>-0.32753263387207554</v>
      </c>
      <c r="U85" s="28"/>
      <c r="W85" s="28"/>
      <c r="X85" s="28"/>
      <c r="Y85" s="28"/>
      <c r="Z85" s="28"/>
    </row>
    <row r="86" spans="2:26" x14ac:dyDescent="0.2">
      <c r="I86" s="151"/>
      <c r="U86" s="28"/>
      <c r="W86" s="28"/>
      <c r="X86" s="28"/>
      <c r="Y86" s="28"/>
      <c r="Z86" s="28"/>
    </row>
    <row r="87" spans="2:26" x14ac:dyDescent="0.2">
      <c r="B87" s="71" t="s">
        <v>247</v>
      </c>
      <c r="I87" s="151"/>
      <c r="K87" s="71" t="s">
        <v>247</v>
      </c>
      <c r="U87" s="28"/>
      <c r="W87" s="28"/>
      <c r="X87" s="28"/>
      <c r="Y87" s="28"/>
      <c r="Z87" s="28"/>
    </row>
    <row r="88" spans="2:26" x14ac:dyDescent="0.2">
      <c r="B88" s="58" t="str">
        <f>$B$3</f>
        <v>Q3'24 vs Q3'23</v>
      </c>
      <c r="I88" s="151"/>
      <c r="K88" s="58" t="str">
        <f>$K$3</f>
        <v>Sep'24 YTD vs Sep'23 YTD</v>
      </c>
      <c r="U88" s="28"/>
      <c r="W88" s="28"/>
      <c r="X88" s="28"/>
      <c r="Y88" s="28"/>
      <c r="Z88" s="28"/>
    </row>
    <row r="89" spans="2:26" x14ac:dyDescent="0.2">
      <c r="B89" s="50" t="s">
        <v>233</v>
      </c>
      <c r="I89" s="151"/>
      <c r="K89" s="50" t="s">
        <v>234</v>
      </c>
      <c r="U89" s="28"/>
      <c r="W89" s="28"/>
      <c r="X89" s="28"/>
      <c r="Y89" s="28"/>
      <c r="Z89" s="28"/>
    </row>
    <row r="90" spans="2:26" x14ac:dyDescent="0.2">
      <c r="C90" s="150" t="s">
        <v>235</v>
      </c>
      <c r="D90" s="135"/>
      <c r="E90" s="150" t="s">
        <v>235</v>
      </c>
      <c r="I90" s="151"/>
      <c r="L90" s="150" t="s">
        <v>235</v>
      </c>
      <c r="M90" s="135"/>
      <c r="N90" s="150" t="s">
        <v>235</v>
      </c>
      <c r="U90" s="28"/>
      <c r="W90" s="28"/>
      <c r="X90" s="28"/>
      <c r="Y90" s="28"/>
      <c r="Z90" s="28"/>
    </row>
    <row r="91" spans="2:26" x14ac:dyDescent="0.2">
      <c r="B91" s="136"/>
      <c r="C91" s="150" t="str">
        <f>$C$6</f>
        <v>Q3'24</v>
      </c>
      <c r="D91" s="135"/>
      <c r="E91" s="150" t="str">
        <f>$E$6</f>
        <v>Q3'23</v>
      </c>
      <c r="G91" s="170" t="s">
        <v>236</v>
      </c>
      <c r="H91" s="150" t="s">
        <v>38</v>
      </c>
      <c r="I91" s="151"/>
      <c r="K91" s="136"/>
      <c r="L91" s="150" t="str">
        <f>$L$6</f>
        <v>Sep'24 YTD</v>
      </c>
      <c r="M91" s="135"/>
      <c r="N91" s="150" t="str">
        <f>$N$6</f>
        <v>Sep'23 YTD</v>
      </c>
      <c r="P91" s="170" t="s">
        <v>236</v>
      </c>
      <c r="Q91" s="150" t="s">
        <v>38</v>
      </c>
      <c r="U91" s="28"/>
      <c r="W91" s="28"/>
      <c r="X91" s="28"/>
      <c r="Y91" s="28"/>
      <c r="Z91" s="28"/>
    </row>
    <row r="92" spans="2:26" x14ac:dyDescent="0.2">
      <c r="H92" s="137"/>
      <c r="I92" s="151"/>
      <c r="Q92" s="137"/>
      <c r="U92" s="28"/>
      <c r="W92" s="28"/>
      <c r="X92" s="28"/>
      <c r="Y92" s="28"/>
      <c r="Z92" s="28"/>
    </row>
    <row r="93" spans="2:26" x14ac:dyDescent="0.2">
      <c r="B93" s="20" t="s">
        <v>237</v>
      </c>
      <c r="C93" s="86">
        <f>'[17]Q3''24 Vs Q3''23 &amp; Bud'!$S$8*3.6726*(('2024 IR Data Book'!$A$5))</f>
        <v>32086.064937546565</v>
      </c>
      <c r="D93" s="138">
        <f>C93/$C$99</f>
        <v>0.89553907981976788</v>
      </c>
      <c r="E93" s="86">
        <f>'[17]Q3''24 Vs Q3''23 &amp; Bud'!$T$8*3.6726*(('2024 IR Data Book'!$A$5))</f>
        <v>34783.232901176503</v>
      </c>
      <c r="F93" s="138">
        <f>E93/$E$99</f>
        <v>0.90368042325300502</v>
      </c>
      <c r="G93" s="140">
        <f>C93-E93</f>
        <v>-2697.1679636299377</v>
      </c>
      <c r="H93" s="139">
        <f>(C93/E93)-1</f>
        <v>-7.7542187389335826E-2</v>
      </c>
      <c r="I93" s="151"/>
      <c r="K93" s="20" t="s">
        <v>237</v>
      </c>
      <c r="L93" s="86">
        <f>'[17]YTD''24 Vs YTD''23 &amp; Bud'!$S$8*3.6726*(('2024 IR Data Book'!$A$5))</f>
        <v>96735.488872138842</v>
      </c>
      <c r="M93" s="138">
        <f>L93/$L$99</f>
        <v>0.89565603556228224</v>
      </c>
      <c r="N93" s="86">
        <f>'[17]YTD''24 Vs YTD''23 &amp; Bud'!$T$8*3.6726*(('2024 IR Data Book'!$A$5))</f>
        <v>110526.5675752395</v>
      </c>
      <c r="O93" s="138">
        <f>N93/$N$99</f>
        <v>0.92873902730742974</v>
      </c>
      <c r="P93" s="140">
        <f>L93-N93</f>
        <v>-13791.078703100662</v>
      </c>
      <c r="Q93" s="139">
        <f>(L93/N93)-1</f>
        <v>-0.12477614211363763</v>
      </c>
      <c r="U93" s="28"/>
      <c r="W93" s="28"/>
      <c r="X93" s="28"/>
      <c r="Y93" s="28"/>
      <c r="Z93" s="28"/>
    </row>
    <row r="94" spans="2:26" x14ac:dyDescent="0.2">
      <c r="B94" s="20" t="s">
        <v>238</v>
      </c>
      <c r="C94" s="86">
        <f>'[17]Q3''24 Vs Q3''23 &amp; Bud'!$S$9*3.6726*(('2024 IR Data Book'!$A$5))</f>
        <v>27.220841445061513</v>
      </c>
      <c r="D94" s="138">
        <f t="shared" ref="D94:D97" si="35">C94/$C$99</f>
        <v>7.5974811330336298E-4</v>
      </c>
      <c r="E94" s="86">
        <f>'[17]Q3''24 Vs Q3''23 &amp; Bud'!$T$9*3.6726*(('2024 IR Data Book'!$A$5))</f>
        <v>13.467160087189619</v>
      </c>
      <c r="F94" s="138">
        <f t="shared" ref="F94:F97" si="36">E94/$E$99</f>
        <v>3.4988147772761671E-4</v>
      </c>
      <c r="G94" s="140">
        <f t="shared" ref="G94:G97" si="37">C94-E94</f>
        <v>13.753681357871894</v>
      </c>
      <c r="H94" s="139">
        <f>(C94/E94)-1</f>
        <v>1.0212755524421828</v>
      </c>
      <c r="I94" s="151"/>
      <c r="K94" s="20" t="s">
        <v>238</v>
      </c>
      <c r="L94" s="86">
        <f>'[17]YTD''24 Vs YTD''23 &amp; Bud'!$S$9*3.6726*(('2024 IR Data Book'!$A$5))</f>
        <v>99.547647525606706</v>
      </c>
      <c r="M94" s="138">
        <f t="shared" ref="M94:M97" si="38">L94/$L$99</f>
        <v>9.2169329345288267E-4</v>
      </c>
      <c r="N94" s="86">
        <f>'[17]YTD''24 Vs YTD''23 &amp; Bud'!$T$9*3.6726*(('2024 IR Data Book'!$A$5))</f>
        <v>41.178521709955994</v>
      </c>
      <c r="O94" s="138">
        <f>N94/$N$99</f>
        <v>3.4601726116961193E-4</v>
      </c>
      <c r="P94" s="140">
        <f t="shared" ref="P94:P97" si="39">L94-N94</f>
        <v>58.369125815650712</v>
      </c>
      <c r="Q94" s="139">
        <f>(L94/N94)-1</f>
        <v>1.4174653045288519</v>
      </c>
      <c r="U94" s="28"/>
      <c r="W94" s="28"/>
      <c r="X94" s="28"/>
      <c r="Y94" s="28"/>
      <c r="Z94" s="28"/>
    </row>
    <row r="95" spans="2:26" x14ac:dyDescent="0.2">
      <c r="B95" s="20" t="s">
        <v>239</v>
      </c>
      <c r="C95" s="86">
        <f>'[17]Q3''24 Vs Q3''23 &amp; Bud'!$S$10*3.6726*(('2024 IR Data Book'!$A$5))</f>
        <v>1652.8273840672146</v>
      </c>
      <c r="D95" s="138">
        <f t="shared" si="35"/>
        <v>4.6131288380470613E-2</v>
      </c>
      <c r="E95" s="86">
        <f>'[17]Q3''24 Vs Q3''23 &amp; Bud'!$T$10*3.6726*(('2024 IR Data Book'!$A$5))</f>
        <v>1669.157406334321</v>
      </c>
      <c r="F95" s="138">
        <f t="shared" si="36"/>
        <v>4.3365286824189019E-2</v>
      </c>
      <c r="G95" s="81">
        <f t="shared" si="37"/>
        <v>-16.330022267106415</v>
      </c>
      <c r="H95" s="82">
        <f>(C95/E95)-1</f>
        <v>-9.7833926297994367E-3</v>
      </c>
      <c r="I95" s="151"/>
      <c r="K95" s="20" t="s">
        <v>239</v>
      </c>
      <c r="L95" s="86">
        <f>'[17]YTD''24 Vs YTD''23 &amp; Bud'!$S$10*3.6726*(('2024 IR Data Book'!$A$5))</f>
        <v>5017.4976460953603</v>
      </c>
      <c r="M95" s="138">
        <f t="shared" si="38"/>
        <v>4.6456084551190741E-2</v>
      </c>
      <c r="N95" s="86">
        <f>'[17]YTD''24 Vs YTD''23 &amp; Bud'!$T$10*3.6726*(('2024 IR Data Book'!$A$5))</f>
        <v>6082.0448181190686</v>
      </c>
      <c r="O95" s="138">
        <f>N95/$N$99</f>
        <v>5.1106557566576609E-2</v>
      </c>
      <c r="P95" s="81">
        <f t="shared" si="39"/>
        <v>-1064.5471720237083</v>
      </c>
      <c r="Q95" s="82">
        <f>(L95/N95)-1</f>
        <v>-0.17503112914464347</v>
      </c>
      <c r="U95" s="28"/>
      <c r="W95" s="28"/>
      <c r="X95" s="28"/>
      <c r="Y95" s="28"/>
      <c r="Z95" s="28"/>
    </row>
    <row r="96" spans="2:26" x14ac:dyDescent="0.2">
      <c r="B96" s="20" t="s">
        <v>240</v>
      </c>
      <c r="C96" s="86">
        <f>'[17]Q3''24 Vs Q3''23 &amp; Bud'!$S$11*3.6726*(('2024 IR Data Book'!$A$5))</f>
        <v>2003.5880299999999</v>
      </c>
      <c r="D96" s="138">
        <f t="shared" si="35"/>
        <v>5.5921203931257157E-2</v>
      </c>
      <c r="E96" s="86">
        <f>'[17]Q3''24 Vs Q3''23 &amp; Bud'!$T$11*3.6726*(('2024 IR Data Book'!$A$5))</f>
        <v>1975.7429499999998</v>
      </c>
      <c r="F96" s="138">
        <f t="shared" si="36"/>
        <v>5.1330485305026097E-2</v>
      </c>
      <c r="G96" s="140">
        <f t="shared" si="37"/>
        <v>27.845080000000053</v>
      </c>
      <c r="H96" s="82">
        <f>(C96/E96)-1</f>
        <v>1.4093473040103666E-2</v>
      </c>
      <c r="I96" s="151"/>
      <c r="K96" s="20" t="s">
        <v>240</v>
      </c>
      <c r="L96" s="86">
        <f>'[17]YTD''24 Vs YTD''23 &amp; Bud'!$S$11*3.6726*(('2024 IR Data Book'!$A$5))</f>
        <v>5975.4629599999998</v>
      </c>
      <c r="M96" s="138">
        <f t="shared" si="38"/>
        <v>5.5325708566758461E-2</v>
      </c>
      <c r="N96" s="86">
        <f>'[17]YTD''24 Vs YTD''23 &amp; Bud'!$T$11*3.6726*(('2024 IR Data Book'!$A$5))</f>
        <v>2214.7229499999999</v>
      </c>
      <c r="O96" s="138">
        <f>N96/$N$99</f>
        <v>1.8610001952139098E-2</v>
      </c>
      <c r="P96" s="140">
        <f t="shared" si="39"/>
        <v>3760.74001</v>
      </c>
      <c r="Q96" s="139">
        <f>(L96/N96)-1</f>
        <v>1.698063412401086</v>
      </c>
      <c r="U96" s="28"/>
      <c r="W96" s="28"/>
      <c r="X96" s="28"/>
      <c r="Y96" s="28"/>
      <c r="Z96" s="28"/>
    </row>
    <row r="97" spans="2:26" x14ac:dyDescent="0.2">
      <c r="B97" s="20" t="s">
        <v>241</v>
      </c>
      <c r="C97" s="86">
        <f>'[17]Q3''24 Vs Q3''23 &amp; Bud'!$S$12*3.6726*(('2024 IR Data Book'!$A$5))</f>
        <v>59.07016999999999</v>
      </c>
      <c r="D97" s="138">
        <f t="shared" si="35"/>
        <v>1.6486797552009871E-3</v>
      </c>
      <c r="E97" s="86">
        <f>'[17]Q3''24 Vs Q3''23 &amp; Bud'!$T$12*3.6726*(('2024 IR Data Book'!$A$5))</f>
        <v>49.034109999999998</v>
      </c>
      <c r="F97" s="138">
        <f t="shared" si="36"/>
        <v>1.2739231400522185E-3</v>
      </c>
      <c r="G97" s="140">
        <f t="shared" si="37"/>
        <v>10.036059999999992</v>
      </c>
      <c r="H97" s="139">
        <f>(C97/E97)-1</f>
        <v>0.20467507210796709</v>
      </c>
      <c r="I97" s="151"/>
      <c r="K97" s="20" t="s">
        <v>241</v>
      </c>
      <c r="L97" s="86">
        <f>'[17]YTD''24 Vs YTD''23 &amp; Bud'!$S$12*3.6726*(('2024 IR Data Book'!$A$5))</f>
        <v>177.18011999999999</v>
      </c>
      <c r="M97" s="138">
        <f t="shared" si="38"/>
        <v>1.6404780263156869E-3</v>
      </c>
      <c r="N97" s="86">
        <f>'[17]YTD''24 Vs YTD''23 &amp; Bud'!$T$12*3.6726*(('2024 IR Data Book'!$A$5))</f>
        <v>142.61765999999994</v>
      </c>
      <c r="O97" s="138">
        <f>N97/$N$99</f>
        <v>1.1983959126849295E-3</v>
      </c>
      <c r="P97" s="140">
        <f t="shared" si="39"/>
        <v>34.562460000000044</v>
      </c>
      <c r="Q97" s="139">
        <f>(L97/N97)-1</f>
        <v>0.24234347976260473</v>
      </c>
      <c r="U97" s="28"/>
      <c r="W97" s="28"/>
      <c r="X97" s="28"/>
      <c r="Y97" s="28"/>
      <c r="Z97" s="28"/>
    </row>
    <row r="98" spans="2:26" x14ac:dyDescent="0.2">
      <c r="C98" s="86"/>
      <c r="D98" s="138"/>
      <c r="E98" s="86"/>
      <c r="F98" s="138"/>
      <c r="G98" s="140"/>
      <c r="H98" s="139"/>
      <c r="I98" s="151"/>
      <c r="L98" s="86"/>
      <c r="M98" s="138"/>
      <c r="N98" s="86"/>
      <c r="O98" s="138"/>
      <c r="P98" s="140"/>
      <c r="Q98" s="139"/>
      <c r="U98" s="28"/>
      <c r="W98" s="28"/>
      <c r="X98" s="28"/>
      <c r="Y98" s="28"/>
      <c r="Z98" s="28"/>
    </row>
    <row r="99" spans="2:26" x14ac:dyDescent="0.2">
      <c r="B99" s="71" t="s">
        <v>242</v>
      </c>
      <c r="C99" s="87">
        <f>SUM(C93:C97)</f>
        <v>35828.771363058841</v>
      </c>
      <c r="D99" s="138">
        <f>C99/$C$99</f>
        <v>1</v>
      </c>
      <c r="E99" s="87">
        <f>SUM(E93:E97)</f>
        <v>38490.634527598013</v>
      </c>
      <c r="F99" s="138">
        <f>E99/$E$99</f>
        <v>1</v>
      </c>
      <c r="G99" s="141">
        <f>C99-E99</f>
        <v>-2661.8631645391724</v>
      </c>
      <c r="H99" s="142">
        <f>(C99/E99)-1</f>
        <v>-6.9156125826676074E-2</v>
      </c>
      <c r="I99" s="221">
        <f>C99/$C$201</f>
        <v>8.2635251164490039E-2</v>
      </c>
      <c r="K99" s="71" t="s">
        <v>242</v>
      </c>
      <c r="L99" s="87">
        <f>SUM(L93:L97)</f>
        <v>108005.17724575981</v>
      </c>
      <c r="M99" s="138">
        <f>L99/$L$99</f>
        <v>1</v>
      </c>
      <c r="N99" s="87">
        <f>SUM(N93:N97)</f>
        <v>119007.13152506853</v>
      </c>
      <c r="O99" s="138">
        <f>N99/$N$99</f>
        <v>1</v>
      </c>
      <c r="P99" s="141">
        <f>L99-N99</f>
        <v>-11001.954279308717</v>
      </c>
      <c r="Q99" s="142">
        <f>(L99/N99)-1</f>
        <v>-9.2447857017637469E-2</v>
      </c>
      <c r="U99" s="28"/>
      <c r="W99" s="28"/>
      <c r="X99" s="28"/>
      <c r="Y99" s="28"/>
      <c r="Z99" s="28"/>
    </row>
    <row r="100" spans="2:26" x14ac:dyDescent="0.2">
      <c r="C100" s="86"/>
      <c r="D100" s="143"/>
      <c r="E100" s="86"/>
      <c r="F100" s="143"/>
      <c r="G100" s="171"/>
      <c r="H100" s="139"/>
      <c r="I100" s="221">
        <f>E99/$E$201</f>
        <v>0.10473663017125548</v>
      </c>
      <c r="L100" s="86"/>
      <c r="M100" s="143"/>
      <c r="N100" s="86"/>
      <c r="O100" s="143"/>
      <c r="P100" s="171"/>
      <c r="Q100" s="139"/>
      <c r="U100" s="28"/>
      <c r="W100" s="28"/>
      <c r="X100" s="28"/>
      <c r="Y100" s="28"/>
      <c r="Z100" s="28"/>
    </row>
    <row r="101" spans="2:26" x14ac:dyDescent="0.2">
      <c r="B101" s="71" t="s">
        <v>42</v>
      </c>
      <c r="C101" s="87">
        <f>'[17]Q3''24 Vs Q3''23 &amp; Bud'!$S$16*3.6726*(('2024 IR Data Book'!$A$5))</f>
        <v>8407.6868944503058</v>
      </c>
      <c r="D101" s="138">
        <f>C101/$C$99</f>
        <v>0.23466299776941357</v>
      </c>
      <c r="E101" s="87">
        <f>'[17]Q3''24 Vs Q3''23 &amp; Bud'!$T$16*3.6726*(('2024 IR Data Book'!$A$5))</f>
        <v>10435.220131938126</v>
      </c>
      <c r="F101" s="138">
        <f>E101/$E$99</f>
        <v>0.27111062885845677</v>
      </c>
      <c r="G101" s="141">
        <f>C101-E101</f>
        <v>-2027.5332374878199</v>
      </c>
      <c r="H101" s="142">
        <f>(C101/E101)-1</f>
        <v>-0.19429712184818548</v>
      </c>
      <c r="I101" s="151"/>
      <c r="K101" s="71" t="s">
        <v>42</v>
      </c>
      <c r="L101" s="87">
        <f>'[17]YTD''24 Vs YTD''23 &amp; Bud'!$S$16*3.6726*(('2024 IR Data Book'!$A$5))</f>
        <v>26813.455777873423</v>
      </c>
      <c r="M101" s="138">
        <f>L101/$L$99</f>
        <v>0.24826083768985338</v>
      </c>
      <c r="N101" s="87">
        <f>'[17]YTD''24 Vs YTD''23 &amp; Bud'!$T$16*3.6726*(('2024 IR Data Book'!$A$5))</f>
        <v>35821.208269422474</v>
      </c>
      <c r="O101" s="138">
        <f>N101/$N$99</f>
        <v>0.30100051829143393</v>
      </c>
      <c r="P101" s="141">
        <f>L101-N101</f>
        <v>-9007.7524915490503</v>
      </c>
      <c r="Q101" s="142">
        <f>(L101/N101)-1</f>
        <v>-0.25146422822476944</v>
      </c>
      <c r="U101" s="28"/>
      <c r="W101" s="28"/>
      <c r="X101" s="28"/>
      <c r="Y101" s="28"/>
      <c r="Z101" s="28"/>
    </row>
    <row r="102" spans="2:26" x14ac:dyDescent="0.2">
      <c r="I102" s="151"/>
      <c r="U102" s="28"/>
      <c r="W102" s="28"/>
      <c r="X102" s="28"/>
      <c r="Y102" s="28"/>
      <c r="Z102" s="28"/>
    </row>
    <row r="103" spans="2:26" x14ac:dyDescent="0.2">
      <c r="B103" s="71" t="s">
        <v>243</v>
      </c>
      <c r="C103" s="150" t="str">
        <f>$C$6</f>
        <v>Q3'24</v>
      </c>
      <c r="D103" s="135"/>
      <c r="E103" s="150" t="str">
        <f>$E$6</f>
        <v>Q3'23</v>
      </c>
      <c r="G103" s="170" t="s">
        <v>236</v>
      </c>
      <c r="H103" s="150" t="s">
        <v>38</v>
      </c>
      <c r="I103" s="151"/>
      <c r="K103" s="71" t="s">
        <v>243</v>
      </c>
      <c r="L103" s="150" t="str">
        <f>$L$6</f>
        <v>Sep'24 YTD</v>
      </c>
      <c r="M103" s="135"/>
      <c r="N103" s="150" t="str">
        <f>$N$6</f>
        <v>Sep'23 YTD</v>
      </c>
      <c r="P103" s="170" t="s">
        <v>236</v>
      </c>
      <c r="Q103" s="150" t="s">
        <v>38</v>
      </c>
      <c r="U103" s="28"/>
      <c r="W103" s="28"/>
      <c r="X103" s="28"/>
      <c r="Y103" s="28"/>
      <c r="Z103" s="28"/>
    </row>
    <row r="104" spans="2:26" x14ac:dyDescent="0.2">
      <c r="B104" s="20" t="s">
        <v>238</v>
      </c>
      <c r="C104" s="83">
        <f>'[18]Regional Volumes '!$I$51</f>
        <v>9883</v>
      </c>
      <c r="D104" s="83"/>
      <c r="E104" s="83">
        <f>'[18]Regional Volumes '!$J$51</f>
        <v>0</v>
      </c>
      <c r="F104" s="89"/>
      <c r="G104" s="140">
        <f t="shared" ref="G104:G106" si="40">C104-E104</f>
        <v>9883</v>
      </c>
      <c r="H104" s="139" t="s">
        <v>248</v>
      </c>
      <c r="I104" s="152"/>
      <c r="K104" s="20" t="s">
        <v>238</v>
      </c>
      <c r="L104" s="83">
        <f>'[18]Regional Volumes '!$O$51</f>
        <v>42947</v>
      </c>
      <c r="M104" s="83"/>
      <c r="N104" s="83">
        <f>'[18]Regional Volumes '!$P$51</f>
        <v>0</v>
      </c>
      <c r="O104" s="89"/>
      <c r="P104" s="140">
        <f t="shared" ref="P104:P106" si="41">L104-N104</f>
        <v>42947</v>
      </c>
      <c r="Q104" s="139" t="s">
        <v>248</v>
      </c>
      <c r="U104" s="28"/>
      <c r="W104" s="28"/>
      <c r="X104" s="28"/>
      <c r="Y104" s="28"/>
      <c r="Z104" s="28"/>
    </row>
    <row r="105" spans="2:26" x14ac:dyDescent="0.2">
      <c r="B105" s="20" t="s">
        <v>237</v>
      </c>
      <c r="C105" s="253">
        <f>'[18]Regional Volumes '!$I$25+'[18]Regional Volumes '!$I$38</f>
        <v>1327580</v>
      </c>
      <c r="D105" s="254"/>
      <c r="E105" s="253">
        <f>'[18]Regional Volumes '!$J$25+'[18]Regional Volumes '!$J$38</f>
        <v>1242720</v>
      </c>
      <c r="F105" s="144"/>
      <c r="G105" s="140">
        <f t="shared" si="40"/>
        <v>84860</v>
      </c>
      <c r="H105" s="139">
        <v>-4.6455756302732354E-3</v>
      </c>
      <c r="I105" s="151"/>
      <c r="K105" s="20" t="s">
        <v>237</v>
      </c>
      <c r="L105" s="253">
        <f>'[18]Regional Volumes '!$O$25+'[18]Regional Volumes '!$O$38</f>
        <v>3884172</v>
      </c>
      <c r="M105" s="254"/>
      <c r="N105" s="253">
        <f>'[18]Regional Volumes '!$P$25+'[18]Regional Volumes '!$P$38</f>
        <v>3672043</v>
      </c>
      <c r="O105" s="144"/>
      <c r="P105" s="140">
        <f t="shared" si="41"/>
        <v>212129</v>
      </c>
      <c r="Q105" s="139">
        <v>2.3440676236066826E-2</v>
      </c>
      <c r="U105" s="28"/>
      <c r="W105" s="28"/>
      <c r="X105" s="28"/>
      <c r="Y105" s="28"/>
      <c r="Z105" s="28"/>
    </row>
    <row r="106" spans="2:26" x14ac:dyDescent="0.2">
      <c r="B106" s="146"/>
      <c r="C106" s="35">
        <f>C105+C104</f>
        <v>1337463</v>
      </c>
      <c r="D106" s="35"/>
      <c r="E106" s="35">
        <f>E105+E104</f>
        <v>1242720</v>
      </c>
      <c r="F106" s="146"/>
      <c r="G106" s="247">
        <f t="shared" si="40"/>
        <v>94743</v>
      </c>
      <c r="H106" s="248">
        <f t="shared" ref="H106" si="42">(C106/E106)-1</f>
        <v>7.6238412514484377E-2</v>
      </c>
      <c r="I106" s="153"/>
      <c r="K106" s="146"/>
      <c r="L106" s="35">
        <f>L105+L104</f>
        <v>3927119</v>
      </c>
      <c r="M106" s="35"/>
      <c r="N106" s="35">
        <f>N105+N104</f>
        <v>3672043</v>
      </c>
      <c r="O106" s="146"/>
      <c r="P106" s="247">
        <f t="shared" si="41"/>
        <v>255076</v>
      </c>
      <c r="Q106" s="248">
        <f t="shared" ref="Q106" si="43">(L106/N106)-1</f>
        <v>6.9464328168270306E-2</v>
      </c>
      <c r="U106" s="28"/>
      <c r="W106" s="28"/>
      <c r="X106" s="28"/>
      <c r="Y106" s="28"/>
      <c r="Z106" s="28"/>
    </row>
    <row r="107" spans="2:26" x14ac:dyDescent="0.2">
      <c r="I107" s="151"/>
      <c r="U107" s="28"/>
      <c r="W107" s="28"/>
      <c r="X107" s="28"/>
      <c r="Y107" s="28"/>
      <c r="Z107" s="28"/>
    </row>
    <row r="108" spans="2:26" x14ac:dyDescent="0.2">
      <c r="B108" s="71" t="s">
        <v>249</v>
      </c>
      <c r="I108" s="151"/>
      <c r="K108" s="71" t="s">
        <v>249</v>
      </c>
      <c r="U108" s="28"/>
      <c r="W108" s="28"/>
      <c r="X108" s="28"/>
      <c r="Y108" s="28"/>
      <c r="Z108" s="28"/>
    </row>
    <row r="109" spans="2:26" x14ac:dyDescent="0.2">
      <c r="B109" s="58" t="str">
        <f>$B$3</f>
        <v>Q3'24 vs Q3'23</v>
      </c>
      <c r="I109" s="151"/>
      <c r="K109" s="58" t="str">
        <f>$K$3</f>
        <v>Sep'24 YTD vs Sep'23 YTD</v>
      </c>
      <c r="U109" s="28"/>
      <c r="W109" s="28"/>
      <c r="X109" s="28"/>
      <c r="Y109" s="28"/>
      <c r="Z109" s="28"/>
    </row>
    <row r="110" spans="2:26" x14ac:dyDescent="0.2">
      <c r="B110" s="50" t="s">
        <v>233</v>
      </c>
      <c r="I110" s="151"/>
      <c r="K110" s="50" t="s">
        <v>234</v>
      </c>
      <c r="U110" s="28"/>
      <c r="W110" s="28"/>
      <c r="X110" s="28"/>
      <c r="Y110" s="28"/>
      <c r="Z110" s="28"/>
    </row>
    <row r="111" spans="2:26" x14ac:dyDescent="0.2">
      <c r="C111" s="150" t="s">
        <v>235</v>
      </c>
      <c r="D111" s="135"/>
      <c r="E111" s="150" t="s">
        <v>235</v>
      </c>
      <c r="I111" s="151"/>
      <c r="L111" s="150" t="s">
        <v>235</v>
      </c>
      <c r="M111" s="135"/>
      <c r="N111" s="150" t="s">
        <v>235</v>
      </c>
      <c r="U111" s="28"/>
      <c r="W111" s="28"/>
      <c r="X111" s="28"/>
      <c r="Y111" s="28"/>
      <c r="Z111" s="28"/>
    </row>
    <row r="112" spans="2:26" x14ac:dyDescent="0.2">
      <c r="B112" s="136"/>
      <c r="C112" s="150" t="str">
        <f>$C$6</f>
        <v>Q3'24</v>
      </c>
      <c r="D112" s="135"/>
      <c r="E112" s="150" t="str">
        <f>$E$6</f>
        <v>Q3'23</v>
      </c>
      <c r="G112" s="170" t="s">
        <v>236</v>
      </c>
      <c r="H112" s="150" t="s">
        <v>38</v>
      </c>
      <c r="I112" s="151"/>
      <c r="K112" s="136"/>
      <c r="L112" s="150" t="str">
        <f>$L$6</f>
        <v>Sep'24 YTD</v>
      </c>
      <c r="M112" s="135"/>
      <c r="N112" s="150" t="str">
        <f>$N$6</f>
        <v>Sep'23 YTD</v>
      </c>
      <c r="P112" s="170" t="s">
        <v>236</v>
      </c>
      <c r="Q112" s="150" t="s">
        <v>38</v>
      </c>
      <c r="U112" s="28"/>
      <c r="W112" s="28"/>
      <c r="X112" s="28"/>
      <c r="Y112" s="28"/>
      <c r="Z112" s="28"/>
    </row>
    <row r="113" spans="2:26" x14ac:dyDescent="0.2">
      <c r="H113" s="137"/>
      <c r="I113" s="151"/>
      <c r="Q113" s="137"/>
      <c r="U113" s="28"/>
      <c r="W113" s="28"/>
      <c r="X113" s="28"/>
      <c r="Y113" s="28"/>
      <c r="Z113" s="28"/>
    </row>
    <row r="114" spans="2:26" x14ac:dyDescent="0.2">
      <c r="B114" s="20" t="s">
        <v>237</v>
      </c>
      <c r="C114" s="86">
        <f>'[17]Q3''24 Vs Q3''23 &amp; Bud'!$W$8*3.6726*(('2024 IR Data Book'!$A$5))</f>
        <v>8509.6734346153717</v>
      </c>
      <c r="D114" s="138">
        <f>C114/$C$120</f>
        <v>0.87608178257971359</v>
      </c>
      <c r="E114" s="86">
        <f>'[17]Q3''24 Vs Q3''23 &amp; Bud'!$X$8*3.6726*(('2024 IR Data Book'!$A$5))</f>
        <v>9073.6201358974231</v>
      </c>
      <c r="F114" s="138">
        <f>E114/$E$120</f>
        <v>0.90985838410611686</v>
      </c>
      <c r="G114" s="140">
        <f>C114-E114</f>
        <v>-563.94670128205144</v>
      </c>
      <c r="H114" s="139">
        <f>(C114/E114)-1</f>
        <v>-6.2152337527437651E-2</v>
      </c>
      <c r="I114" s="151"/>
      <c r="K114" s="20" t="s">
        <v>237</v>
      </c>
      <c r="L114" s="86">
        <f>'[17]YTD''24 Vs YTD''23 &amp; Bud'!$W$8*3.6726*(('2024 IR Data Book'!$A$5))</f>
        <v>24366.07065131854</v>
      </c>
      <c r="M114" s="138">
        <f>L114/$L$120</f>
        <v>0.88137888343956317</v>
      </c>
      <c r="N114" s="86">
        <f>'[17]YTD''24 Vs YTD''23 &amp; Bud'!$X$8*3.6726*(('2024 IR Data Book'!$A$5))</f>
        <v>27561.132734615341</v>
      </c>
      <c r="O114" s="138">
        <f>N114/$N$120</f>
        <v>0.9128364152212719</v>
      </c>
      <c r="P114" s="140">
        <f>L114-N114</f>
        <v>-3195.0620832968016</v>
      </c>
      <c r="Q114" s="139">
        <f>(L114/N114)-1</f>
        <v>-0.11592637044572451</v>
      </c>
      <c r="U114" s="28"/>
      <c r="W114" s="28"/>
      <c r="X114" s="28"/>
      <c r="Y114" s="28"/>
      <c r="Z114" s="28"/>
    </row>
    <row r="115" spans="2:26" x14ac:dyDescent="0.2">
      <c r="B115" s="20" t="s">
        <v>238</v>
      </c>
      <c r="C115" s="86">
        <f>'[17]Q3''24 Vs Q3''23 &amp; Bud'!$W$9*3.6726*(('2024 IR Data Book'!$A$5))</f>
        <v>9.6153846153845993E-2</v>
      </c>
      <c r="D115" s="138">
        <f t="shared" ref="D115:D118" si="44">C115/$C$120</f>
        <v>9.8991616526309661E-6</v>
      </c>
      <c r="E115" s="86">
        <f>'[17]Q3''24 Vs Q3''23 &amp; Bud'!$X$9*3.6726*(('2024 IR Data Book'!$A$5))</f>
        <v>2.8974358974358929E-2</v>
      </c>
      <c r="F115" s="138">
        <f t="shared" ref="F115:F118" si="45">E115/$E$120</f>
        <v>2.9054074384957047E-6</v>
      </c>
      <c r="G115" s="140">
        <f t="shared" ref="G115:G118" si="46">C115-E115</f>
        <v>6.717948717948706E-2</v>
      </c>
      <c r="H115" s="139">
        <f>(C115/E115)-1</f>
        <v>2.3185840707964598</v>
      </c>
      <c r="I115" s="151"/>
      <c r="K115" s="20" t="s">
        <v>238</v>
      </c>
      <c r="L115" s="86">
        <f>'[17]YTD''24 Vs YTD''23 &amp; Bud'!$W$9*3.6726*(('2024 IR Data Book'!$A$5))</f>
        <v>0.21025641012102544</v>
      </c>
      <c r="M115" s="138">
        <f t="shared" ref="M115:M118" si="47">L115/$L$120</f>
        <v>7.6054757716321464E-6</v>
      </c>
      <c r="N115" s="86">
        <f>'[17]YTD''24 Vs YTD''23 &amp; Bud'!$X$9*3.6726*(('2024 IR Data Book'!$A$5))</f>
        <v>2.3694615384615347</v>
      </c>
      <c r="O115" s="138">
        <f>N115/$N$120</f>
        <v>7.8477571934384958E-5</v>
      </c>
      <c r="P115" s="140">
        <f t="shared" ref="P115:P118" si="48">L115-N115</f>
        <v>-2.1592051283405094</v>
      </c>
      <c r="Q115" s="139">
        <f>(L115/N115)-1</f>
        <v>-0.91126405442413616</v>
      </c>
      <c r="U115" s="28"/>
      <c r="W115" s="28"/>
      <c r="X115" s="28"/>
      <c r="Y115" s="28"/>
      <c r="Z115" s="28"/>
    </row>
    <row r="116" spans="2:26" x14ac:dyDescent="0.2">
      <c r="B116" s="20" t="s">
        <v>239</v>
      </c>
      <c r="C116" s="86">
        <f>'[17]Q3''24 Vs Q3''23 &amp; Bud'!$W$10*3.6726*(('2024 IR Data Book'!$A$5))</f>
        <v>1114.3475435897419</v>
      </c>
      <c r="D116" s="138">
        <f t="shared" si="44"/>
        <v>0.1147235073005539</v>
      </c>
      <c r="E116" s="86">
        <f>'[17]Q3''24 Vs Q3''23 &amp; Bud'!$X$10*3.6726*(('2024 IR Data Book'!$A$5))</f>
        <v>779.62105769230641</v>
      </c>
      <c r="F116" s="138">
        <f t="shared" si="45"/>
        <v>7.8176598220228016E-2</v>
      </c>
      <c r="G116" s="81">
        <f t="shared" si="46"/>
        <v>334.72648589743551</v>
      </c>
      <c r="H116" s="82">
        <f>(C116/E116)-1</f>
        <v>0.42934510631130518</v>
      </c>
      <c r="I116" s="151"/>
      <c r="K116" s="20" t="s">
        <v>239</v>
      </c>
      <c r="L116" s="86">
        <f>'[17]YTD''24 Vs YTD''23 &amp; Bud'!$W$10*3.6726*(('2024 IR Data Book'!$A$5))</f>
        <v>2955.4749030671314</v>
      </c>
      <c r="M116" s="138">
        <f t="shared" si="47"/>
        <v>0.10690657543332695</v>
      </c>
      <c r="N116" s="86">
        <f>'[17]YTD''24 Vs YTD''23 &amp; Bud'!$X$10*3.6726*(('2024 IR Data Book'!$A$5))</f>
        <v>2045.0857474358941</v>
      </c>
      <c r="O116" s="138">
        <f>N116/$N$120</f>
        <v>6.7734108045742897E-2</v>
      </c>
      <c r="P116" s="81">
        <f t="shared" si="48"/>
        <v>910.38915563123737</v>
      </c>
      <c r="Q116" s="82">
        <f>(L116/N116)-1</f>
        <v>0.4451594055519057</v>
      </c>
      <c r="U116" s="28"/>
      <c r="W116" s="28"/>
      <c r="X116" s="28"/>
      <c r="Y116" s="28"/>
      <c r="Z116" s="28"/>
    </row>
    <row r="117" spans="2:26" x14ac:dyDescent="0.2">
      <c r="B117" s="20" t="s">
        <v>240</v>
      </c>
      <c r="C117" s="86">
        <f>'[17]Q3''24 Vs Q3''23 &amp; Bud'!$W$11*3.6726*(('2024 IR Data Book'!$A$5))</f>
        <v>89.215120512820377</v>
      </c>
      <c r="D117" s="138">
        <f t="shared" si="44"/>
        <v>9.1848109580797786E-3</v>
      </c>
      <c r="E117" s="86">
        <f>'[17]Q3''24 Vs Q3''23 &amp; Bud'!$X$11*3.6726*(('2024 IR Data Book'!$A$5))</f>
        <v>119.29291923076904</v>
      </c>
      <c r="F117" s="138">
        <f t="shared" si="45"/>
        <v>1.1962112266216659E-2</v>
      </c>
      <c r="G117" s="140">
        <f t="shared" si="46"/>
        <v>-30.077798717948667</v>
      </c>
      <c r="H117" s="139">
        <f>(C117/E117)-1</f>
        <v>-0.25213398173083479</v>
      </c>
      <c r="I117" s="151"/>
      <c r="K117" s="20" t="s">
        <v>240</v>
      </c>
      <c r="L117" s="86">
        <f>'[17]YTD''24 Vs YTD''23 &amp; Bud'!$W$11*3.6726*(('2024 IR Data Book'!$A$5))</f>
        <v>323.64290380745058</v>
      </c>
      <c r="M117" s="138">
        <f t="shared" si="47"/>
        <v>1.1706935651338296E-2</v>
      </c>
      <c r="N117" s="86">
        <f>'[17]YTD''24 Vs YTD''23 &amp; Bud'!$X$11*3.6726*(('2024 IR Data Book'!$A$5))</f>
        <v>584.26181025640926</v>
      </c>
      <c r="O117" s="138">
        <f>N117/$N$120</f>
        <v>1.9350999161050816E-2</v>
      </c>
      <c r="P117" s="140">
        <f t="shared" si="48"/>
        <v>-260.61890644895868</v>
      </c>
      <c r="Q117" s="139">
        <f>(L117/N117)-1</f>
        <v>-0.44606527737040247</v>
      </c>
      <c r="U117" s="28"/>
      <c r="W117" s="28"/>
      <c r="X117" s="28"/>
      <c r="Y117" s="28"/>
      <c r="Z117" s="28"/>
    </row>
    <row r="118" spans="2:26" x14ac:dyDescent="0.2">
      <c r="B118" s="20" t="s">
        <v>241</v>
      </c>
      <c r="C118" s="86">
        <f>'[17]Q3''24 Vs Q3''23 &amp; Bud'!$W$12*3.6726*(('2024 IR Data Book'!$A$5))</f>
        <v>0</v>
      </c>
      <c r="D118" s="138">
        <f t="shared" si="44"/>
        <v>0</v>
      </c>
      <c r="E118" s="86">
        <f>'[17]Q3''24 Vs Q3''23 &amp; Bud'!$X$12*3.6726*(('2024 IR Data Book'!$A$5))</f>
        <v>0</v>
      </c>
      <c r="F118" s="138">
        <f t="shared" si="45"/>
        <v>0</v>
      </c>
      <c r="G118" s="140">
        <f t="shared" si="46"/>
        <v>0</v>
      </c>
      <c r="H118" s="139" t="s">
        <v>248</v>
      </c>
      <c r="I118" s="151"/>
      <c r="K118" s="20" t="s">
        <v>241</v>
      </c>
      <c r="L118" s="86">
        <f>'[17]YTD''24 Vs YTD''23 &amp; Bud'!$W$12*3.6726*(('2024 IR Data Book'!$A$5))</f>
        <v>0</v>
      </c>
      <c r="M118" s="138">
        <f t="shared" si="47"/>
        <v>0</v>
      </c>
      <c r="N118" s="86">
        <f>'[17]YTD''24 Vs YTD''23 &amp; Bud'!$X$12*3.6726*(('2024 IR Data Book'!$A$5))</f>
        <v>0</v>
      </c>
      <c r="O118" s="138">
        <f>N118/$N$120</f>
        <v>0</v>
      </c>
      <c r="P118" s="140">
        <f t="shared" si="48"/>
        <v>0</v>
      </c>
      <c r="Q118" s="139" t="s">
        <v>248</v>
      </c>
      <c r="U118" s="28"/>
      <c r="W118" s="28"/>
      <c r="X118" s="28"/>
      <c r="Y118" s="28"/>
      <c r="Z118" s="28"/>
    </row>
    <row r="119" spans="2:26" x14ac:dyDescent="0.2">
      <c r="C119" s="86"/>
      <c r="D119" s="138"/>
      <c r="E119" s="86"/>
      <c r="F119" s="138"/>
      <c r="G119" s="140"/>
      <c r="H119" s="139"/>
      <c r="I119" s="151"/>
      <c r="L119" s="86"/>
      <c r="M119" s="138"/>
      <c r="N119" s="86"/>
      <c r="O119" s="138"/>
      <c r="P119" s="140"/>
      <c r="Q119" s="139"/>
      <c r="U119" s="28"/>
      <c r="W119" s="28"/>
      <c r="X119" s="28"/>
      <c r="Y119" s="28"/>
      <c r="Z119" s="28"/>
    </row>
    <row r="120" spans="2:26" x14ac:dyDescent="0.2">
      <c r="B120" s="71" t="s">
        <v>242</v>
      </c>
      <c r="C120" s="87">
        <f>SUM(C114:C118)</f>
        <v>9713.3322525640888</v>
      </c>
      <c r="D120" s="138">
        <f>C120/$C$120</f>
        <v>1</v>
      </c>
      <c r="E120" s="87">
        <f>SUM(E114:E118)</f>
        <v>9972.5630871794729</v>
      </c>
      <c r="F120" s="138">
        <f>E120/$E$120</f>
        <v>1</v>
      </c>
      <c r="G120" s="141">
        <f>C120-E120</f>
        <v>-259.23083461538408</v>
      </c>
      <c r="H120" s="142">
        <f>(C120/E120)-1</f>
        <v>-2.5994404081398748E-2</v>
      </c>
      <c r="I120" s="221">
        <f>C120/$C$201</f>
        <v>2.2402767937567614E-2</v>
      </c>
      <c r="K120" s="71" t="s">
        <v>242</v>
      </c>
      <c r="L120" s="87">
        <f>SUM(L114:L118)</f>
        <v>27645.398714603241</v>
      </c>
      <c r="M120" s="138">
        <f>L120/$L$120</f>
        <v>1</v>
      </c>
      <c r="N120" s="87">
        <f>SUM(N114:N118)</f>
        <v>30192.849753846105</v>
      </c>
      <c r="O120" s="138">
        <f>N120/$N$120</f>
        <v>1</v>
      </c>
      <c r="P120" s="141">
        <f>L120-N120</f>
        <v>-2547.4510392428638</v>
      </c>
      <c r="Q120" s="142">
        <f>(L120/N120)-1</f>
        <v>-8.437265975260777E-2</v>
      </c>
      <c r="U120" s="28"/>
      <c r="W120" s="28"/>
      <c r="X120" s="28"/>
      <c r="Y120" s="28"/>
      <c r="Z120" s="28"/>
    </row>
    <row r="121" spans="2:26" x14ac:dyDescent="0.2">
      <c r="C121" s="86"/>
      <c r="D121" s="143"/>
      <c r="E121" s="86"/>
      <c r="F121" s="143"/>
      <c r="G121" s="171"/>
      <c r="H121" s="139"/>
      <c r="I121" s="221">
        <f>E120/$E$201</f>
        <v>2.7136280415759911E-2</v>
      </c>
      <c r="L121" s="86"/>
      <c r="M121" s="143"/>
      <c r="N121" s="86"/>
      <c r="O121" s="143"/>
      <c r="P121" s="171"/>
      <c r="Q121" s="139"/>
      <c r="U121" s="28"/>
      <c r="W121" s="28"/>
      <c r="X121" s="28"/>
      <c r="Y121" s="28"/>
      <c r="Z121" s="28"/>
    </row>
    <row r="122" spans="2:26" x14ac:dyDescent="0.2">
      <c r="B122" s="71" t="s">
        <v>42</v>
      </c>
      <c r="C122" s="87">
        <f>'[17]Q3''24 Vs Q3''23 &amp; Bud'!$W$16*3.6726*(('2024 IR Data Book'!$A$5))</f>
        <v>1983.2213589743549</v>
      </c>
      <c r="D122" s="138">
        <f>C122/$C$120</f>
        <v>0.20417517978455144</v>
      </c>
      <c r="E122" s="87">
        <f>'[17]Q3''24 Vs Q3''23 &amp; Bud'!$X$16*3.6726*(('2024 IR Data Book'!$A$5))</f>
        <v>2518.4777512820478</v>
      </c>
      <c r="F122" s="138">
        <f>E122/$E$120</f>
        <v>0.25254066875944381</v>
      </c>
      <c r="G122" s="141">
        <f>C122-E122</f>
        <v>-535.25639230769298</v>
      </c>
      <c r="H122" s="142">
        <f>(C122/E122)-1</f>
        <v>-0.21253171366521584</v>
      </c>
      <c r="I122" s="151"/>
      <c r="K122" s="71" t="s">
        <v>42</v>
      </c>
      <c r="L122" s="87">
        <f>'[17]YTD''24 Vs YTD''23 &amp; Bud'!$W$16*3.6726*(('2024 IR Data Book'!$A$5))</f>
        <v>6389.4061373772747</v>
      </c>
      <c r="M122" s="138">
        <f>L122/$L$120</f>
        <v>0.23112005738597552</v>
      </c>
      <c r="N122" s="87">
        <f>'[17]YTD''24 Vs YTD''23 &amp; Bud'!$X$16*3.6726*(('2024 IR Data Book'!$A$5))</f>
        <v>7427.2829910256278</v>
      </c>
      <c r="O122" s="138">
        <f>N122/$N$120</f>
        <v>0.24599476536922474</v>
      </c>
      <c r="P122" s="141">
        <f>L122-N122</f>
        <v>-1037.8768536483531</v>
      </c>
      <c r="Q122" s="142">
        <f>(L122/N122)-1</f>
        <v>-0.13973842856161767</v>
      </c>
      <c r="U122" s="28"/>
      <c r="W122" s="28"/>
      <c r="X122" s="28"/>
      <c r="Y122" s="28"/>
      <c r="Z122" s="28"/>
    </row>
    <row r="123" spans="2:26" x14ac:dyDescent="0.2">
      <c r="I123" s="151"/>
      <c r="U123" s="28"/>
      <c r="W123" s="28"/>
      <c r="X123" s="28"/>
      <c r="Y123" s="28"/>
      <c r="Z123" s="28"/>
    </row>
    <row r="124" spans="2:26" x14ac:dyDescent="0.2">
      <c r="B124" s="71" t="s">
        <v>243</v>
      </c>
      <c r="C124" s="150" t="str">
        <f>$C$6</f>
        <v>Q3'24</v>
      </c>
      <c r="D124" s="135"/>
      <c r="E124" s="150" t="str">
        <f>$E$6</f>
        <v>Q3'23</v>
      </c>
      <c r="G124" s="170" t="s">
        <v>236</v>
      </c>
      <c r="H124" s="150" t="s">
        <v>38</v>
      </c>
      <c r="I124" s="151"/>
      <c r="K124" s="71" t="s">
        <v>243</v>
      </c>
      <c r="L124" s="150" t="str">
        <f>$L$6</f>
        <v>Sep'24 YTD</v>
      </c>
      <c r="M124" s="135"/>
      <c r="N124" s="150" t="str">
        <f>$N$6</f>
        <v>Sep'23 YTD</v>
      </c>
      <c r="P124" s="170" t="s">
        <v>236</v>
      </c>
      <c r="Q124" s="150" t="s">
        <v>38</v>
      </c>
      <c r="U124" s="28"/>
      <c r="W124" s="28"/>
      <c r="X124" s="28"/>
      <c r="Y124" s="28"/>
      <c r="Z124" s="28"/>
    </row>
    <row r="125" spans="2:26" x14ac:dyDescent="0.2">
      <c r="B125" s="20" t="s">
        <v>238</v>
      </c>
      <c r="C125" s="83">
        <f>'[18]Regional Volumes '!$I$54</f>
        <v>54</v>
      </c>
      <c r="D125" s="83"/>
      <c r="E125" s="83">
        <f>'[18]Regional Volumes '!$J$54</f>
        <v>3</v>
      </c>
      <c r="F125" s="89"/>
      <c r="G125" s="140">
        <f t="shared" ref="G125:G127" si="49">C125-E125</f>
        <v>51</v>
      </c>
      <c r="H125" s="139">
        <f t="shared" ref="H125:H127" si="50">(C125/E125)-1</f>
        <v>17</v>
      </c>
      <c r="I125" s="152"/>
      <c r="K125" s="20" t="s">
        <v>238</v>
      </c>
      <c r="L125" s="83">
        <f>'[18]Regional Volumes '!$O$54</f>
        <v>63</v>
      </c>
      <c r="M125" s="83"/>
      <c r="N125" s="83">
        <f>'[18]Regional Volumes '!$P$54</f>
        <v>170</v>
      </c>
      <c r="O125" s="89"/>
      <c r="P125" s="140">
        <f t="shared" ref="P125:P127" si="51">L125-N125</f>
        <v>-107</v>
      </c>
      <c r="Q125" s="139">
        <f t="shared" ref="Q125:Q127" si="52">(L125/N125)-1</f>
        <v>-0.62941176470588234</v>
      </c>
      <c r="U125" s="28"/>
      <c r="W125" s="28"/>
      <c r="X125" s="28"/>
      <c r="Y125" s="28"/>
      <c r="Z125" s="28"/>
    </row>
    <row r="126" spans="2:26" x14ac:dyDescent="0.2">
      <c r="B126" s="20" t="s">
        <v>237</v>
      </c>
      <c r="C126" s="253">
        <f>'[18]Regional Volumes '!$I$28+'[18]Regional Volumes '!$I$41</f>
        <v>241558</v>
      </c>
      <c r="D126" s="254"/>
      <c r="E126" s="253">
        <f>'[18]Regional Volumes '!$J$28+'[18]Regional Volumes '!$J$41</f>
        <v>215547</v>
      </c>
      <c r="F126" s="144"/>
      <c r="G126" s="140">
        <f>C126-E126</f>
        <v>26011</v>
      </c>
      <c r="H126" s="139">
        <v>-0.55650563316809376</v>
      </c>
      <c r="I126" s="151"/>
      <c r="K126" s="20" t="s">
        <v>237</v>
      </c>
      <c r="L126" s="253">
        <f>'[18]Regional Volumes '!$O$28+'[18]Regional Volumes '!$O$41</f>
        <v>612886</v>
      </c>
      <c r="M126" s="254"/>
      <c r="N126" s="253">
        <f>'[18]Regional Volumes '!$P$28+'[18]Regional Volumes '!$P$41</f>
        <v>650842</v>
      </c>
      <c r="O126" s="144"/>
      <c r="P126" s="140">
        <f t="shared" si="51"/>
        <v>-37956</v>
      </c>
      <c r="Q126" s="139">
        <v>-0.55545761783676606</v>
      </c>
      <c r="U126" s="28"/>
      <c r="W126" s="28"/>
      <c r="X126" s="28"/>
      <c r="Y126" s="28"/>
      <c r="Z126" s="28"/>
    </row>
    <row r="127" spans="2:26" x14ac:dyDescent="0.2">
      <c r="B127" s="146"/>
      <c r="C127" s="35">
        <f>C126+C125</f>
        <v>241612</v>
      </c>
      <c r="D127" s="35"/>
      <c r="E127" s="35">
        <f>E126+E125</f>
        <v>215550</v>
      </c>
      <c r="F127" s="146"/>
      <c r="G127" s="247">
        <f t="shared" si="49"/>
        <v>26062</v>
      </c>
      <c r="H127" s="248">
        <f t="shared" si="50"/>
        <v>0.12090930178612846</v>
      </c>
      <c r="I127" s="153"/>
      <c r="K127" s="146"/>
      <c r="L127" s="35">
        <f>L126+L125</f>
        <v>612949</v>
      </c>
      <c r="M127" s="35"/>
      <c r="N127" s="35">
        <f>N126+N125</f>
        <v>651012</v>
      </c>
      <c r="O127" s="146"/>
      <c r="P127" s="247">
        <f t="shared" si="51"/>
        <v>-38063</v>
      </c>
      <c r="Q127" s="248">
        <f t="shared" si="52"/>
        <v>-5.8467432243952455E-2</v>
      </c>
      <c r="U127" s="28"/>
      <c r="W127" s="28"/>
      <c r="X127" s="28"/>
      <c r="Y127" s="28"/>
      <c r="Z127" s="28"/>
    </row>
    <row r="128" spans="2:26" x14ac:dyDescent="0.2">
      <c r="I128" s="151"/>
      <c r="U128" s="28"/>
      <c r="W128" s="28"/>
      <c r="X128" s="28"/>
      <c r="Y128" s="28"/>
      <c r="Z128" s="28"/>
    </row>
    <row r="129" spans="2:26" x14ac:dyDescent="0.2">
      <c r="B129" s="71" t="s">
        <v>250</v>
      </c>
      <c r="I129" s="151"/>
      <c r="K129" s="71" t="s">
        <v>250</v>
      </c>
      <c r="U129" s="28"/>
      <c r="W129" s="28"/>
      <c r="X129" s="28"/>
      <c r="Y129" s="28"/>
      <c r="Z129" s="28"/>
    </row>
    <row r="130" spans="2:26" x14ac:dyDescent="0.2">
      <c r="B130" s="58" t="str">
        <f>$B$3</f>
        <v>Q3'24 vs Q3'23</v>
      </c>
      <c r="I130" s="151"/>
      <c r="K130" s="58" t="str">
        <f>$K$3</f>
        <v>Sep'24 YTD vs Sep'23 YTD</v>
      </c>
      <c r="U130" s="28"/>
      <c r="W130" s="28"/>
      <c r="X130" s="28"/>
      <c r="Y130" s="28"/>
      <c r="Z130" s="28"/>
    </row>
    <row r="131" spans="2:26" x14ac:dyDescent="0.2">
      <c r="B131" s="50" t="s">
        <v>233</v>
      </c>
      <c r="I131" s="151"/>
      <c r="K131" s="50" t="s">
        <v>234</v>
      </c>
      <c r="U131" s="28"/>
      <c r="W131" s="28"/>
      <c r="X131" s="28"/>
      <c r="Y131" s="28"/>
      <c r="Z131" s="28"/>
    </row>
    <row r="132" spans="2:26" x14ac:dyDescent="0.2">
      <c r="C132" s="150" t="s">
        <v>235</v>
      </c>
      <c r="D132" s="135"/>
      <c r="E132" s="150" t="s">
        <v>235</v>
      </c>
      <c r="I132" s="151"/>
      <c r="L132" s="150" t="s">
        <v>235</v>
      </c>
      <c r="M132" s="135"/>
      <c r="N132" s="150" t="s">
        <v>235</v>
      </c>
      <c r="U132" s="28"/>
      <c r="W132" s="28"/>
      <c r="X132" s="28"/>
      <c r="Y132" s="28"/>
      <c r="Z132" s="28"/>
    </row>
    <row r="133" spans="2:26" x14ac:dyDescent="0.2">
      <c r="B133" s="136"/>
      <c r="C133" s="150" t="str">
        <f>$C$6</f>
        <v>Q3'24</v>
      </c>
      <c r="D133" s="135"/>
      <c r="E133" s="150" t="str">
        <f>$E$6</f>
        <v>Q3'23</v>
      </c>
      <c r="G133" s="170" t="s">
        <v>236</v>
      </c>
      <c r="H133" s="150" t="s">
        <v>38</v>
      </c>
      <c r="I133" s="151"/>
      <c r="K133" s="136"/>
      <c r="L133" s="150" t="str">
        <f>$L$6</f>
        <v>Sep'24 YTD</v>
      </c>
      <c r="M133" s="135"/>
      <c r="N133" s="150" t="str">
        <f>$N$6</f>
        <v>Sep'23 YTD</v>
      </c>
      <c r="P133" s="170" t="s">
        <v>236</v>
      </c>
      <c r="Q133" s="150" t="s">
        <v>38</v>
      </c>
      <c r="U133" s="28"/>
      <c r="W133" s="28"/>
      <c r="X133" s="28"/>
      <c r="Y133" s="28"/>
      <c r="Z133" s="28"/>
    </row>
    <row r="134" spans="2:26" x14ac:dyDescent="0.2">
      <c r="H134" s="137"/>
      <c r="I134" s="151"/>
      <c r="Q134" s="137"/>
      <c r="U134" s="28"/>
      <c r="W134" s="28"/>
      <c r="X134" s="28"/>
      <c r="Y134" s="28"/>
      <c r="Z134" s="28"/>
    </row>
    <row r="135" spans="2:26" x14ac:dyDescent="0.2">
      <c r="B135" s="20" t="s">
        <v>237</v>
      </c>
      <c r="C135" s="86">
        <f>'[17]Q3''24 Vs Q3''23 &amp; Bud'!$AE$8*3.6726*(('2024 IR Data Book'!$A$5))</f>
        <v>20386.386851641251</v>
      </c>
      <c r="D135" s="138">
        <f>C135/$C$141</f>
        <v>0.71166383287691659</v>
      </c>
      <c r="E135" s="86">
        <f>'[17]Q3''24 Vs Q3''23 &amp; Bud'!$AF$8*3.6726*(('2024 IR Data Book'!$A$5))</f>
        <v>20689.648412294489</v>
      </c>
      <c r="F135" s="138">
        <f>E135/$E$141</f>
        <v>0.75289630948313346</v>
      </c>
      <c r="G135" s="140">
        <f>C135-E135</f>
        <v>-303.26156065323812</v>
      </c>
      <c r="H135" s="139">
        <f>(C135/E135)-1</f>
        <v>-1.465764688746618E-2</v>
      </c>
      <c r="I135" s="151"/>
      <c r="K135" s="20" t="s">
        <v>237</v>
      </c>
      <c r="L135" s="86">
        <f>'[17]YTD''24 Vs YTD''23 &amp; Bud'!$AE$8*3.6726*(('2024 IR Data Book'!$A$5))</f>
        <v>62151.498362760482</v>
      </c>
      <c r="M135" s="138">
        <f>L135/$L$141</f>
        <v>0.72539210919520736</v>
      </c>
      <c r="N135" s="86">
        <f>'[17]YTD''24 Vs YTD''23 &amp; Bud'!$AF$8*3.6726*(('2024 IR Data Book'!$A$5))</f>
        <v>61099.565049149103</v>
      </c>
      <c r="O135" s="138">
        <f>N135/$N$141</f>
        <v>0.75307769934871027</v>
      </c>
      <c r="P135" s="140">
        <f>L135-N135</f>
        <v>1051.9333136113783</v>
      </c>
      <c r="Q135" s="139">
        <f>(L135/N135)-1</f>
        <v>1.7216707070912829E-2</v>
      </c>
      <c r="U135" s="28"/>
      <c r="W135" s="28"/>
      <c r="X135" s="28"/>
      <c r="Y135" s="28"/>
      <c r="Z135" s="28"/>
    </row>
    <row r="136" spans="2:26" x14ac:dyDescent="0.2">
      <c r="B136" s="20" t="s">
        <v>238</v>
      </c>
      <c r="C136" s="86">
        <f>'[17]Q3''24 Vs Q3''23 &amp; Bud'!$AE$9*3.6726*(('2024 IR Data Book'!$A$5))</f>
        <v>829.69542152991482</v>
      </c>
      <c r="D136" s="138">
        <f t="shared" ref="D136:D139" si="53">C136/$C$141</f>
        <v>2.8963652465903812E-2</v>
      </c>
      <c r="E136" s="86">
        <f>'[17]Q3''24 Vs Q3''23 &amp; Bud'!$AF$9*3.6726*(('2024 IR Data Book'!$A$5))</f>
        <v>820.21947285540455</v>
      </c>
      <c r="F136" s="138">
        <f t="shared" ref="F136:F139" si="54">E136/$E$141</f>
        <v>2.9847786766259012E-2</v>
      </c>
      <c r="G136" s="140">
        <f t="shared" ref="G136:G139" si="55">C136-E136</f>
        <v>9.4759486745102777</v>
      </c>
      <c r="H136" s="139">
        <f>(C136/E136)-1</f>
        <v>1.1552942825804768E-2</v>
      </c>
      <c r="I136" s="151"/>
      <c r="K136" s="20" t="s">
        <v>238</v>
      </c>
      <c r="L136" s="86">
        <f>'[17]YTD''24 Vs YTD''23 &amp; Bud'!$AE$9*3.6726*(('2024 IR Data Book'!$A$5))</f>
        <v>2431.5937580589598</v>
      </c>
      <c r="M136" s="138">
        <f t="shared" ref="M136:M139" si="56">L136/$L$141</f>
        <v>2.8379990367555594E-2</v>
      </c>
      <c r="N136" s="86">
        <f>'[17]YTD''24 Vs YTD''23 &amp; Bud'!$AF$9*3.6726*(('2024 IR Data Book'!$A$5))</f>
        <v>2623.9282698501875</v>
      </c>
      <c r="O136" s="138">
        <f>N136/$N$141</f>
        <v>3.2341013608284917E-2</v>
      </c>
      <c r="P136" s="140">
        <f t="shared" ref="P136:P139" si="57">L136-N136</f>
        <v>-192.33451179122767</v>
      </c>
      <c r="Q136" s="139">
        <f>(L136/N136)-1</f>
        <v>-7.330021708337664E-2</v>
      </c>
      <c r="U136" s="28"/>
      <c r="W136" s="28"/>
      <c r="X136" s="28"/>
      <c r="Y136" s="28"/>
      <c r="Z136" s="28"/>
    </row>
    <row r="137" spans="2:26" x14ac:dyDescent="0.2">
      <c r="B137" s="20" t="s">
        <v>239</v>
      </c>
      <c r="C137" s="86">
        <f>'[17]Q3''24 Vs Q3''23 &amp; Bud'!$AE$10*3.6726*(('2024 IR Data Book'!$A$5))</f>
        <v>5731.1776178574319</v>
      </c>
      <c r="D137" s="138">
        <f t="shared" si="53"/>
        <v>0.2000684015320966</v>
      </c>
      <c r="E137" s="86">
        <f>'[17]Q3''24 Vs Q3''23 &amp; Bud'!$AF$10*3.6726*(('2024 IR Data Book'!$A$5))</f>
        <v>4609.0831649774418</v>
      </c>
      <c r="F137" s="138">
        <f t="shared" si="54"/>
        <v>0.16772453721109484</v>
      </c>
      <c r="G137" s="81">
        <f t="shared" si="55"/>
        <v>1122.0944528799901</v>
      </c>
      <c r="H137" s="82">
        <f>(C137/E137)-1</f>
        <v>0.24345285444322884</v>
      </c>
      <c r="I137" s="151"/>
      <c r="K137" s="20" t="s">
        <v>239</v>
      </c>
      <c r="L137" s="86">
        <f>'[17]YTD''24 Vs YTD''23 &amp; Bud'!$AE$10*3.6726*(('2024 IR Data Book'!$A$5))</f>
        <v>16423.834932723086</v>
      </c>
      <c r="M137" s="138">
        <f t="shared" si="56"/>
        <v>0.19168838365545038</v>
      </c>
      <c r="N137" s="86">
        <f>'[17]YTD''24 Vs YTD''23 &amp; Bud'!$AF$10*3.6726*(('2024 IR Data Book'!$A$5))</f>
        <v>13523.414894303907</v>
      </c>
      <c r="O137" s="138">
        <f>N137/$N$141</f>
        <v>0.16668174589701595</v>
      </c>
      <c r="P137" s="81">
        <f t="shared" si="57"/>
        <v>2900.420038419179</v>
      </c>
      <c r="Q137" s="82">
        <f>(L137/N137)-1</f>
        <v>0.21447393732191444</v>
      </c>
      <c r="U137" s="28"/>
      <c r="W137" s="28"/>
      <c r="X137" s="28"/>
      <c r="Y137" s="28"/>
      <c r="Z137" s="28"/>
    </row>
    <row r="138" spans="2:26" x14ac:dyDescent="0.2">
      <c r="B138" s="20" t="s">
        <v>240</v>
      </c>
      <c r="C138" s="86">
        <f>'[17]Q3''24 Vs Q3''23 &amp; Bud'!$AE$11*3.6726*(('2024 IR Data Book'!$A$5))</f>
        <v>1688.6463579256242</v>
      </c>
      <c r="D138" s="138">
        <f t="shared" si="53"/>
        <v>5.894857917690529E-2</v>
      </c>
      <c r="E138" s="86">
        <f>'[17]Q3''24 Vs Q3''23 &amp; Bud'!$AF$11*3.6726*(('2024 IR Data Book'!$A$5))</f>
        <v>1336.762157067576</v>
      </c>
      <c r="F138" s="138">
        <f t="shared" si="54"/>
        <v>4.8644775138606419E-2</v>
      </c>
      <c r="G138" s="140">
        <f t="shared" si="55"/>
        <v>351.88420085804819</v>
      </c>
      <c r="H138" s="139">
        <f>(C138/E138)-1</f>
        <v>0.26323620772596401</v>
      </c>
      <c r="I138" s="151"/>
      <c r="K138" s="20" t="s">
        <v>240</v>
      </c>
      <c r="L138" s="86">
        <f>'[17]YTD''24 Vs YTD''23 &amp; Bud'!$AE$11*3.6726*(('2024 IR Data Book'!$A$5))</f>
        <v>4642.1461828178672</v>
      </c>
      <c r="M138" s="138">
        <f t="shared" si="56"/>
        <v>5.4180129191613753E-2</v>
      </c>
      <c r="N138" s="86">
        <f>'[17]YTD''24 Vs YTD''23 &amp; Bud'!$AF$11*3.6726*(('2024 IR Data Book'!$A$5))</f>
        <v>3766.5322582492013</v>
      </c>
      <c r="O138" s="138">
        <f>N138/$N$141</f>
        <v>4.6424085757129502E-2</v>
      </c>
      <c r="P138" s="140">
        <f t="shared" si="57"/>
        <v>875.61392456866588</v>
      </c>
      <c r="Q138" s="139">
        <f>(L138/N138)-1</f>
        <v>0.23247216923496561</v>
      </c>
      <c r="U138" s="28"/>
      <c r="W138" s="28"/>
      <c r="X138" s="28"/>
      <c r="Y138" s="28"/>
      <c r="Z138" s="28"/>
    </row>
    <row r="139" spans="2:26" x14ac:dyDescent="0.2">
      <c r="B139" s="20" t="s">
        <v>241</v>
      </c>
      <c r="C139" s="86">
        <f>'[17]Q3''24 Vs Q3''23 &amp; Bud'!$AE$12*3.6726*(('2024 IR Data Book'!$A$5))</f>
        <v>10.184657799936048</v>
      </c>
      <c r="D139" s="138">
        <f t="shared" si="53"/>
        <v>3.5553394817771505E-4</v>
      </c>
      <c r="E139" s="86">
        <f>'[17]Q3''24 Vs Q3''23 &amp; Bud'!$AF$12*3.6726*(('2024 IR Data Book'!$A$5))</f>
        <v>24.363599793318251</v>
      </c>
      <c r="F139" s="138">
        <f t="shared" si="54"/>
        <v>8.8659140090622103E-4</v>
      </c>
      <c r="G139" s="140">
        <f t="shared" si="55"/>
        <v>-14.178941993382203</v>
      </c>
      <c r="H139" s="139">
        <f>(C139/E139)-1</f>
        <v>-0.58197237328084817</v>
      </c>
      <c r="I139" s="151"/>
      <c r="K139" s="20" t="s">
        <v>241</v>
      </c>
      <c r="L139" s="86">
        <f>'[17]YTD''24 Vs YTD''23 &amp; Bud'!$AE$12*3.6726*(('2024 IR Data Book'!$A$5))</f>
        <v>30.792280394400361</v>
      </c>
      <c r="M139" s="138">
        <f t="shared" si="56"/>
        <v>3.5938759017284985E-4</v>
      </c>
      <c r="N139" s="86">
        <f>'[17]YTD''24 Vs YTD''23 &amp; Bud'!$AF$12*3.6726*(('2024 IR Data Book'!$A$5))</f>
        <v>119.70834163153678</v>
      </c>
      <c r="O139" s="138">
        <f>N139/$N$141</f>
        <v>1.4754553888593125E-3</v>
      </c>
      <c r="P139" s="140">
        <f t="shared" si="57"/>
        <v>-88.916061237136418</v>
      </c>
      <c r="Q139" s="139">
        <f>(L139/N139)-1</f>
        <v>-0.74277247537870639</v>
      </c>
      <c r="U139" s="28"/>
      <c r="W139" s="28"/>
      <c r="X139" s="28"/>
      <c r="Y139" s="28"/>
      <c r="Z139" s="28"/>
    </row>
    <row r="140" spans="2:26" x14ac:dyDescent="0.2">
      <c r="C140" s="86"/>
      <c r="D140" s="138"/>
      <c r="E140" s="86"/>
      <c r="F140" s="138"/>
      <c r="G140" s="140"/>
      <c r="H140" s="139"/>
      <c r="I140" s="151"/>
      <c r="L140" s="86"/>
      <c r="M140" s="138"/>
      <c r="N140" s="86"/>
      <c r="O140" s="138"/>
      <c r="P140" s="140"/>
      <c r="Q140" s="139"/>
      <c r="U140" s="28"/>
      <c r="W140" s="28"/>
      <c r="X140" s="28"/>
      <c r="Y140" s="28"/>
      <c r="Z140" s="28"/>
    </row>
    <row r="141" spans="2:26" x14ac:dyDescent="0.2">
      <c r="B141" s="71" t="s">
        <v>242</v>
      </c>
      <c r="C141" s="87">
        <f>SUM(C135:C139)</f>
        <v>28646.090906754158</v>
      </c>
      <c r="D141" s="244">
        <f>C141/$C$141</f>
        <v>1</v>
      </c>
      <c r="E141" s="243">
        <f>SUM(E135:E139)</f>
        <v>27480.076806988232</v>
      </c>
      <c r="F141" s="138">
        <f>E141/$E$141</f>
        <v>1</v>
      </c>
      <c r="G141" s="141">
        <f>C141-E141</f>
        <v>1166.0140997659255</v>
      </c>
      <c r="H141" s="142">
        <f>(C141/E141)-1</f>
        <v>4.2431253302370964E-2</v>
      </c>
      <c r="I141" s="221">
        <f>C141/$C$201</f>
        <v>6.6069162488812436E-2</v>
      </c>
      <c r="K141" s="71" t="s">
        <v>242</v>
      </c>
      <c r="L141" s="87">
        <f>SUM(L135:L139)</f>
        <v>85679.865516754799</v>
      </c>
      <c r="M141" s="138">
        <f>L141/$L$141</f>
        <v>1</v>
      </c>
      <c r="N141" s="243">
        <f>SUM(N135:N139)</f>
        <v>81133.148813183943</v>
      </c>
      <c r="O141" s="138">
        <f>N141/$N$141</f>
        <v>1</v>
      </c>
      <c r="P141" s="141">
        <f>L141-N141</f>
        <v>4546.7167035708553</v>
      </c>
      <c r="Q141" s="142">
        <f>(L141/N141)-1</f>
        <v>5.604018542457978E-2</v>
      </c>
      <c r="U141" s="28"/>
      <c r="W141" s="28"/>
      <c r="X141" s="28"/>
      <c r="Y141" s="28"/>
      <c r="Z141" s="28"/>
    </row>
    <row r="142" spans="2:26" x14ac:dyDescent="0.2">
      <c r="C142" s="86"/>
      <c r="D142" s="143"/>
      <c r="E142" s="86"/>
      <c r="F142" s="143"/>
      <c r="G142" s="171"/>
      <c r="H142" s="139"/>
      <c r="I142" s="221">
        <f>E141/$E$201</f>
        <v>7.4775868907735368E-2</v>
      </c>
      <c r="L142" s="86"/>
      <c r="M142" s="143"/>
      <c r="N142" s="86"/>
      <c r="O142" s="143"/>
      <c r="P142" s="171"/>
      <c r="Q142" s="139"/>
      <c r="U142" s="28"/>
      <c r="W142" s="28"/>
      <c r="X142" s="28"/>
      <c r="Y142" s="28"/>
      <c r="Z142" s="28"/>
    </row>
    <row r="143" spans="2:26" x14ac:dyDescent="0.2">
      <c r="B143" s="71" t="s">
        <v>42</v>
      </c>
      <c r="C143" s="87">
        <f>'[17]Q3''24 Vs Q3''23 &amp; Bud'!$AE$16*3.6726*(('2024 IR Data Book'!$A$5))</f>
        <v>4444.9904357357527</v>
      </c>
      <c r="D143" s="138">
        <f>C143/$C$141</f>
        <v>0.15516917998356683</v>
      </c>
      <c r="E143" s="87">
        <f>'[17]Q3''24 Vs Q3''23 &amp; Bud'!$AF$16*3.6726*(('2024 IR Data Book'!$A$5))</f>
        <v>5528.9009923501762</v>
      </c>
      <c r="F143" s="138">
        <f>E143/$E$141</f>
        <v>0.20119670811633855</v>
      </c>
      <c r="G143" s="141">
        <f>C143-E143</f>
        <v>-1083.9105566144235</v>
      </c>
      <c r="H143" s="142">
        <f>(C143/E143)-1</f>
        <v>-0.19604448661933527</v>
      </c>
      <c r="I143" s="151"/>
      <c r="K143" s="71" t="s">
        <v>42</v>
      </c>
      <c r="L143" s="87">
        <f>'[17]YTD''24 Vs YTD''23 &amp; Bud'!$AE$16*3.6726*(('2024 IR Data Book'!$A$5))</f>
        <v>13451.380523624006</v>
      </c>
      <c r="M143" s="138">
        <f>L143/$L$141</f>
        <v>0.15699581742449834</v>
      </c>
      <c r="N143" s="87">
        <f>'[17]YTD''24 Vs YTD''23 &amp; Bud'!$AF$16*3.6726*(('2024 IR Data Book'!$A$5))</f>
        <v>16561.449315684276</v>
      </c>
      <c r="O143" s="138">
        <f>N143/$N$141</f>
        <v>0.2041267910582201</v>
      </c>
      <c r="P143" s="141">
        <f>L143-N143</f>
        <v>-3110.0687920602704</v>
      </c>
      <c r="Q143" s="142">
        <f>(L143/N143)-1</f>
        <v>-0.18778965130273506</v>
      </c>
      <c r="U143" s="28"/>
      <c r="W143" s="28"/>
      <c r="X143" s="28"/>
      <c r="Y143" s="28"/>
      <c r="Z143" s="28"/>
    </row>
    <row r="144" spans="2:26" x14ac:dyDescent="0.2">
      <c r="I144" s="151"/>
      <c r="U144" s="28"/>
      <c r="W144" s="28"/>
      <c r="X144" s="28"/>
      <c r="Y144" s="28"/>
      <c r="Z144" s="28"/>
    </row>
    <row r="145" spans="2:26" x14ac:dyDescent="0.2">
      <c r="B145" s="71" t="s">
        <v>243</v>
      </c>
      <c r="C145" s="150" t="str">
        <f>$C$6</f>
        <v>Q3'24</v>
      </c>
      <c r="D145" s="135"/>
      <c r="E145" s="150" t="str">
        <f>$E$6</f>
        <v>Q3'23</v>
      </c>
      <c r="G145" s="170" t="s">
        <v>236</v>
      </c>
      <c r="H145" s="150" t="s">
        <v>38</v>
      </c>
      <c r="I145" s="151"/>
      <c r="K145" s="71" t="s">
        <v>243</v>
      </c>
      <c r="L145" s="150" t="str">
        <f>$L$6</f>
        <v>Sep'24 YTD</v>
      </c>
      <c r="M145" s="135"/>
      <c r="N145" s="150" t="str">
        <f>$N$6</f>
        <v>Sep'23 YTD</v>
      </c>
      <c r="P145" s="170" t="s">
        <v>236</v>
      </c>
      <c r="Q145" s="150" t="s">
        <v>38</v>
      </c>
      <c r="U145" s="28"/>
      <c r="W145" s="28"/>
      <c r="X145" s="28"/>
      <c r="Y145" s="28"/>
      <c r="Z145" s="28"/>
    </row>
    <row r="146" spans="2:26" x14ac:dyDescent="0.2">
      <c r="B146" s="20" t="s">
        <v>238</v>
      </c>
      <c r="C146" s="83">
        <f>'[18]Regional Volumes '!$I$49</f>
        <v>237300</v>
      </c>
      <c r="D146" s="83"/>
      <c r="E146" s="83">
        <f>'[18]Regional Volumes '!$J$49</f>
        <v>272228</v>
      </c>
      <c r="F146" s="89"/>
      <c r="G146" s="140">
        <f t="shared" ref="G146:G148" si="58">C146-E146</f>
        <v>-34928</v>
      </c>
      <c r="H146" s="139">
        <f t="shared" ref="H146:H148" si="59">(C146/E146)-1</f>
        <v>-0.12830421558399574</v>
      </c>
      <c r="I146" s="152"/>
      <c r="K146" s="20" t="s">
        <v>238</v>
      </c>
      <c r="L146" s="83">
        <f>'[18]Regional Volumes '!$O$49</f>
        <v>772939</v>
      </c>
      <c r="M146" s="83"/>
      <c r="N146" s="83">
        <f>'[18]Regional Volumes '!$P$49</f>
        <v>830181</v>
      </c>
      <c r="O146" s="89"/>
      <c r="P146" s="140">
        <f t="shared" ref="P146:P148" si="60">L146-N146</f>
        <v>-57242</v>
      </c>
      <c r="Q146" s="139">
        <f t="shared" ref="Q146:Q148" si="61">(L146/N146)-1</f>
        <v>-6.8951228707956447E-2</v>
      </c>
      <c r="U146" s="28"/>
      <c r="W146" s="28"/>
      <c r="X146" s="28"/>
      <c r="Y146" s="28"/>
      <c r="Z146" s="28"/>
    </row>
    <row r="147" spans="2:26" x14ac:dyDescent="0.2">
      <c r="B147" s="20" t="s">
        <v>237</v>
      </c>
      <c r="C147" s="253">
        <f>'[18]Regional Volumes '!$I$23+'[18]Regional Volumes '!$I$36</f>
        <v>797073</v>
      </c>
      <c r="D147" s="254"/>
      <c r="E147" s="253">
        <f>'[18]Regional Volumes '!$J$23+'[18]Regional Volumes '!$J$36</f>
        <v>826282</v>
      </c>
      <c r="F147" s="144"/>
      <c r="G147" s="140">
        <f t="shared" si="58"/>
        <v>-29209</v>
      </c>
      <c r="H147" s="139">
        <v>0.13060304479641593</v>
      </c>
      <c r="I147" s="151"/>
      <c r="K147" s="20" t="s">
        <v>237</v>
      </c>
      <c r="L147" s="253">
        <f>'[18]Regional Volumes '!$O$23+'[18]Regional Volumes '!$O$36</f>
        <v>2386293</v>
      </c>
      <c r="M147" s="254"/>
      <c r="N147" s="253">
        <f>'[18]Regional Volumes '!$P$23+'[18]Regional Volumes '!$P$36</f>
        <v>2333738</v>
      </c>
      <c r="O147" s="144"/>
      <c r="P147" s="140">
        <f t="shared" si="60"/>
        <v>52555</v>
      </c>
      <c r="Q147" s="139">
        <v>9.2529686198911776E-2</v>
      </c>
      <c r="U147" s="28"/>
      <c r="W147" s="28"/>
      <c r="X147" s="28"/>
      <c r="Y147" s="28"/>
      <c r="Z147" s="28"/>
    </row>
    <row r="148" spans="2:26" x14ac:dyDescent="0.2">
      <c r="B148" s="146"/>
      <c r="C148" s="35">
        <f>C147+C146</f>
        <v>1034373</v>
      </c>
      <c r="D148" s="35"/>
      <c r="E148" s="35">
        <f>E147+E146</f>
        <v>1098510</v>
      </c>
      <c r="F148" s="146"/>
      <c r="G148" s="247">
        <f t="shared" si="58"/>
        <v>-64137</v>
      </c>
      <c r="H148" s="248">
        <f t="shared" si="59"/>
        <v>-5.8385449381434862E-2</v>
      </c>
      <c r="I148" s="153"/>
      <c r="K148" s="146"/>
      <c r="L148" s="35">
        <f>L147+L146</f>
        <v>3159232</v>
      </c>
      <c r="M148" s="35"/>
      <c r="N148" s="35">
        <f>N147+N146</f>
        <v>3163919</v>
      </c>
      <c r="O148" s="146"/>
      <c r="P148" s="247">
        <f t="shared" si="60"/>
        <v>-4687</v>
      </c>
      <c r="Q148" s="248">
        <f t="shared" si="61"/>
        <v>-1.4813906424279155E-3</v>
      </c>
      <c r="U148" s="28"/>
      <c r="W148" s="28"/>
      <c r="X148" s="28"/>
      <c r="Y148" s="28"/>
      <c r="Z148" s="28"/>
    </row>
    <row r="149" spans="2:26" x14ac:dyDescent="0.2">
      <c r="I149" s="151"/>
      <c r="U149" s="28"/>
      <c r="W149" s="28"/>
      <c r="X149" s="28"/>
      <c r="Y149" s="28"/>
      <c r="Z149" s="28"/>
    </row>
    <row r="150" spans="2:26" x14ac:dyDescent="0.2">
      <c r="B150" s="71" t="s">
        <v>251</v>
      </c>
      <c r="I150" s="151"/>
      <c r="K150" s="71" t="s">
        <v>251</v>
      </c>
      <c r="U150" s="28"/>
      <c r="W150" s="28"/>
      <c r="X150" s="28"/>
      <c r="Y150" s="28"/>
      <c r="Z150" s="28"/>
    </row>
    <row r="151" spans="2:26" x14ac:dyDescent="0.2">
      <c r="B151" s="58" t="str">
        <f>$B$3</f>
        <v>Q3'24 vs Q3'23</v>
      </c>
      <c r="I151" s="151"/>
      <c r="K151" s="58" t="str">
        <f>$K$3</f>
        <v>Sep'24 YTD vs Sep'23 YTD</v>
      </c>
      <c r="U151" s="28"/>
      <c r="W151" s="28"/>
      <c r="X151" s="28"/>
      <c r="Y151" s="28"/>
      <c r="Z151" s="28"/>
    </row>
    <row r="152" spans="2:26" x14ac:dyDescent="0.2">
      <c r="B152" s="50" t="s">
        <v>233</v>
      </c>
      <c r="I152" s="151"/>
      <c r="K152" s="50" t="s">
        <v>234</v>
      </c>
      <c r="U152" s="28"/>
      <c r="W152" s="28"/>
      <c r="X152" s="28"/>
      <c r="Y152" s="28"/>
      <c r="Z152" s="28"/>
    </row>
    <row r="153" spans="2:26" x14ac:dyDescent="0.2">
      <c r="C153" s="150" t="s">
        <v>235</v>
      </c>
      <c r="D153" s="135"/>
      <c r="E153" s="150" t="s">
        <v>235</v>
      </c>
      <c r="I153" s="151"/>
      <c r="L153" s="150" t="s">
        <v>235</v>
      </c>
      <c r="M153" s="135"/>
      <c r="N153" s="150" t="s">
        <v>235</v>
      </c>
      <c r="U153" s="28"/>
      <c r="W153" s="28"/>
      <c r="X153" s="28"/>
      <c r="Y153" s="28"/>
      <c r="Z153" s="28"/>
    </row>
    <row r="154" spans="2:26" x14ac:dyDescent="0.2">
      <c r="B154" s="136"/>
      <c r="C154" s="150" t="str">
        <f>$C$6</f>
        <v>Q3'24</v>
      </c>
      <c r="D154" s="135"/>
      <c r="E154" s="150" t="str">
        <f>$E$6</f>
        <v>Q3'23</v>
      </c>
      <c r="G154" s="170" t="s">
        <v>236</v>
      </c>
      <c r="H154" s="150" t="s">
        <v>38</v>
      </c>
      <c r="I154" s="151"/>
      <c r="K154" s="136"/>
      <c r="L154" s="150" t="str">
        <f>$L$6</f>
        <v>Sep'24 YTD</v>
      </c>
      <c r="M154" s="135"/>
      <c r="N154" s="150" t="str">
        <f>$N$6</f>
        <v>Sep'23 YTD</v>
      </c>
      <c r="P154" s="170" t="s">
        <v>236</v>
      </c>
      <c r="Q154" s="150" t="s">
        <v>38</v>
      </c>
      <c r="U154" s="28"/>
      <c r="W154" s="28"/>
      <c r="X154" s="28"/>
      <c r="Y154" s="28"/>
      <c r="Z154" s="28"/>
    </row>
    <row r="155" spans="2:26" x14ac:dyDescent="0.2">
      <c r="H155" s="137"/>
      <c r="I155" s="151"/>
      <c r="Q155" s="137"/>
      <c r="U155" s="28"/>
      <c r="W155" s="28"/>
      <c r="X155" s="28"/>
      <c r="Y155" s="28"/>
      <c r="Z155" s="28"/>
    </row>
    <row r="156" spans="2:26" x14ac:dyDescent="0.2">
      <c r="B156" s="20" t="s">
        <v>237</v>
      </c>
      <c r="C156" s="86">
        <f>'[17]Q3''24 Vs Q3''23 &amp; Bud'!$AA$8*3.6726*(('2024 IR Data Book'!$A$5))</f>
        <v>1462.271109771101</v>
      </c>
      <c r="D156" s="138">
        <f>C156/$C$162</f>
        <v>2.6146116298691714E-2</v>
      </c>
      <c r="E156" s="86">
        <f>'[17]Q3''24 Vs Q3''23 &amp; Bud'!$AB$8*3.6726*(('2024 IR Data Book'!$A$5))</f>
        <v>531.51986214913813</v>
      </c>
      <c r="F156" s="138">
        <f>E156/$E$162</f>
        <v>1.5108307358364484E-2</v>
      </c>
      <c r="G156" s="140">
        <f>C156-E156</f>
        <v>930.75124762196288</v>
      </c>
      <c r="H156" s="139">
        <f>(C156/E156)-1</f>
        <v>1.7511128255086827</v>
      </c>
      <c r="I156" s="151"/>
      <c r="K156" s="20" t="s">
        <v>237</v>
      </c>
      <c r="L156" s="86">
        <f>'[17]YTD''24 Vs YTD''23 &amp; Bud'!$AA$8*3.6726*(('2024 IR Data Book'!$A$5))</f>
        <v>3838.407560567488</v>
      </c>
      <c r="M156" s="138">
        <f>L156/$L$162</f>
        <v>2.6508491887528542E-2</v>
      </c>
      <c r="N156" s="86">
        <f>'[17]YTD''24 Vs YTD''23 &amp; Bud'!$AB$8*3.6726*(('2024 IR Data Book'!$A$5))</f>
        <v>1642.5440348648244</v>
      </c>
      <c r="O156" s="138">
        <f>N156/$N$162</f>
        <v>1.6085932718067256E-2</v>
      </c>
      <c r="P156" s="140">
        <f>L156-N156</f>
        <v>2195.8635257026635</v>
      </c>
      <c r="Q156" s="139">
        <f>(L156/N156)-1</f>
        <v>1.3368673710372554</v>
      </c>
      <c r="U156" s="28"/>
      <c r="W156" s="28"/>
      <c r="X156" s="28"/>
      <c r="Y156" s="28"/>
      <c r="Z156" s="28"/>
    </row>
    <row r="157" spans="2:26" x14ac:dyDescent="0.2">
      <c r="B157" s="20" t="s">
        <v>238</v>
      </c>
      <c r="C157" s="86">
        <f>'[17]Q3''24 Vs Q3''23 &amp; Bud'!$AA$9*3.6726*(('2024 IR Data Book'!$A$5))</f>
        <v>53847.53380569593</v>
      </c>
      <c r="D157" s="138">
        <f t="shared" ref="D157:D160" si="62">C157/$C$162</f>
        <v>0.96282000777670296</v>
      </c>
      <c r="E157" s="86">
        <f>'[17]Q3''24 Vs Q3''23 &amp; Bud'!$AB$9*3.6726*(('2024 IR Data Book'!$A$5))</f>
        <v>33363.621186118064</v>
      </c>
      <c r="F157" s="138">
        <f t="shared" ref="F157:F164" si="63">E157/$E$162</f>
        <v>0.94835184790606619</v>
      </c>
      <c r="G157" s="140">
        <f t="shared" ref="G157:G160" si="64">C157-E157</f>
        <v>20483.912619577866</v>
      </c>
      <c r="H157" s="139">
        <f>(C157/E157)-1</f>
        <v>0.61395951312685493</v>
      </c>
      <c r="I157" s="221"/>
      <c r="K157" s="20" t="s">
        <v>238</v>
      </c>
      <c r="L157" s="86">
        <f>'[17]YTD''24 Vs YTD''23 &amp; Bud'!$AA$9*3.6726*(('2024 IR Data Book'!$A$5))</f>
        <v>139046.29192743864</v>
      </c>
      <c r="M157" s="138">
        <f t="shared" ref="M157:M160" si="65">L157/$L$162</f>
        <v>0.9602699670080086</v>
      </c>
      <c r="N157" s="86">
        <f>'[17]YTD''24 Vs YTD''23 &amp; Bud'!$AB$9*3.6726*(('2024 IR Data Book'!$A$5))</f>
        <v>97001.638145813893</v>
      </c>
      <c r="O157" s="138">
        <f>N157/$N$162</f>
        <v>0.94996651026423218</v>
      </c>
      <c r="P157" s="140">
        <f t="shared" ref="P157:P160" si="66">L157-N157</f>
        <v>42044.653781624744</v>
      </c>
      <c r="Q157" s="139">
        <f>(L157/N157)-1</f>
        <v>0.43344271896133102</v>
      </c>
      <c r="U157" s="28"/>
      <c r="W157" s="28"/>
      <c r="X157" s="28"/>
      <c r="Y157" s="28"/>
      <c r="Z157" s="28"/>
    </row>
    <row r="158" spans="2:26" x14ac:dyDescent="0.2">
      <c r="B158" s="20" t="s">
        <v>239</v>
      </c>
      <c r="C158" s="86">
        <f>'[17]Q3''24 Vs Q3''23 &amp; Bud'!$AA$10*3.6726*(('2024 IR Data Book'!$A$5))</f>
        <v>509.38774844158826</v>
      </c>
      <c r="D158" s="138">
        <f t="shared" si="62"/>
        <v>9.1080998748360158E-3</v>
      </c>
      <c r="E158" s="86">
        <f>'[17]Q3''24 Vs Q3''23 &amp; Bud'!$AB$10*3.6726*(('2024 IR Data Book'!$A$5))</f>
        <v>839.89050597803691</v>
      </c>
      <c r="F158" s="138">
        <f t="shared" si="63"/>
        <v>2.3873658945463776E-2</v>
      </c>
      <c r="G158" s="81">
        <f t="shared" si="64"/>
        <v>-330.50275753644866</v>
      </c>
      <c r="H158" s="82">
        <f>(C158/E158)-1</f>
        <v>-0.39350695737605024</v>
      </c>
      <c r="I158" s="151"/>
      <c r="K158" s="20" t="s">
        <v>239</v>
      </c>
      <c r="L158" s="86">
        <f>'[17]YTD''24 Vs YTD''23 &amp; Bud'!$AA$10*3.6726*(('2024 IR Data Book'!$A$5))</f>
        <v>1338.525284248338</v>
      </c>
      <c r="M158" s="138">
        <f t="shared" si="65"/>
        <v>9.2440122834436689E-3</v>
      </c>
      <c r="N158" s="86">
        <f>'[17]YTD''24 Vs YTD''23 &amp; Bud'!$AB$10*3.6726*(('2024 IR Data Book'!$A$5))</f>
        <v>2131.7544680541178</v>
      </c>
      <c r="O158" s="138">
        <f>N158/$N$162</f>
        <v>2.0876919106390866E-2</v>
      </c>
      <c r="P158" s="81">
        <f t="shared" si="66"/>
        <v>-793.22918380577971</v>
      </c>
      <c r="Q158" s="82">
        <f>(L158/N158)-1</f>
        <v>-0.37210156971306618</v>
      </c>
      <c r="U158" s="28"/>
      <c r="W158" s="28"/>
      <c r="X158" s="28"/>
      <c r="Y158" s="28"/>
      <c r="Z158" s="28"/>
    </row>
    <row r="159" spans="2:26" x14ac:dyDescent="0.2">
      <c r="B159" s="20" t="s">
        <v>240</v>
      </c>
      <c r="C159" s="86">
        <f>'[17]Q3''24 Vs Q3''23 &amp; Bud'!$AA$11*3.6726*(('2024 IR Data Book'!$A$5))</f>
        <v>71.492055034319733</v>
      </c>
      <c r="D159" s="138">
        <f t="shared" si="62"/>
        <v>1.2783126007682643E-3</v>
      </c>
      <c r="E159" s="86">
        <f>'[17]Q3''24 Vs Q3''23 &amp; Bud'!$AB$11*3.6726*(('2024 IR Data Book'!$A$5))</f>
        <v>46.065915066022527</v>
      </c>
      <c r="F159" s="138">
        <f t="shared" si="63"/>
        <v>1.3094110928379536E-3</v>
      </c>
      <c r="G159" s="140">
        <f t="shared" si="64"/>
        <v>25.426139968297207</v>
      </c>
      <c r="H159" s="139">
        <f>(C159/E159)-1</f>
        <v>0.55195126226964097</v>
      </c>
      <c r="I159" s="151"/>
      <c r="K159" s="20" t="s">
        <v>240</v>
      </c>
      <c r="L159" s="86">
        <f>'[17]YTD''24 Vs YTD''23 &amp; Bud'!$AA$11*3.6726*(('2024 IR Data Book'!$A$5))</f>
        <v>321.35853877314497</v>
      </c>
      <c r="M159" s="138">
        <f t="shared" si="65"/>
        <v>2.2193396828335999E-3</v>
      </c>
      <c r="N159" s="86">
        <f>'[17]YTD''24 Vs YTD''23 &amp; Bud'!$AB$11*3.6726*(('2024 IR Data Book'!$A$5))</f>
        <v>127.69744235375197</v>
      </c>
      <c r="O159" s="138">
        <f>N159/$N$162</f>
        <v>1.2505798458796109E-3</v>
      </c>
      <c r="P159" s="140">
        <f t="shared" si="66"/>
        <v>193.661096419393</v>
      </c>
      <c r="Q159" s="139">
        <f>(L159/N159)-1</f>
        <v>1.5165620614617024</v>
      </c>
      <c r="U159" s="28"/>
      <c r="W159" s="28"/>
      <c r="X159" s="28"/>
      <c r="Y159" s="28"/>
      <c r="Z159" s="28"/>
    </row>
    <row r="160" spans="2:26" x14ac:dyDescent="0.2">
      <c r="B160" s="20" t="s">
        <v>241</v>
      </c>
      <c r="C160" s="86">
        <f>'[17]Q3''24 Vs Q3''23 &amp; Bud'!$AA$12*3.6726*(('2024 IR Data Book'!$A$5))</f>
        <v>36.210620548431429</v>
      </c>
      <c r="D160" s="138">
        <f t="shared" si="62"/>
        <v>6.4746344900111432E-4</v>
      </c>
      <c r="E160" s="86">
        <f>'[17]Q3''24 Vs Q3''23 &amp; Bud'!$AB$12*3.6726*(('2024 IR Data Book'!$A$5))</f>
        <v>399.53855705805631</v>
      </c>
      <c r="F160" s="138">
        <f t="shared" si="63"/>
        <v>1.1356774697267723E-2</v>
      </c>
      <c r="G160" s="140">
        <f t="shared" si="64"/>
        <v>-363.32793650962486</v>
      </c>
      <c r="H160" s="139">
        <f>(C160/E160)-1</f>
        <v>-0.90936889592067649</v>
      </c>
      <c r="I160" s="151"/>
      <c r="K160" s="20" t="s">
        <v>241</v>
      </c>
      <c r="L160" s="86">
        <f>'[17]YTD''24 Vs YTD''23 &amp; Bud'!$AA$12*3.6726*(('2024 IR Data Book'!$A$5))</f>
        <v>254.58432375377859</v>
      </c>
      <c r="M160" s="138">
        <f t="shared" si="65"/>
        <v>1.7581891381855314E-3</v>
      </c>
      <c r="N160" s="86">
        <f>'[17]YTD''24 Vs YTD''23 &amp; Bud'!$AB$12*3.6726*(('2024 IR Data Book'!$A$5))</f>
        <v>1206.9530693313002</v>
      </c>
      <c r="O160" s="138">
        <f>N160/$N$162</f>
        <v>1.1820058065430097E-2</v>
      </c>
      <c r="P160" s="140">
        <f t="shared" si="66"/>
        <v>-952.36874557752162</v>
      </c>
      <c r="Q160" s="139">
        <f>(L160/N160)-1</f>
        <v>-0.78906858085639708</v>
      </c>
      <c r="U160" s="28"/>
      <c r="W160" s="28"/>
      <c r="X160" s="28"/>
      <c r="Y160" s="28"/>
      <c r="Z160" s="28"/>
    </row>
    <row r="161" spans="2:26" x14ac:dyDescent="0.2">
      <c r="C161" s="86"/>
      <c r="D161" s="138"/>
      <c r="E161" s="86"/>
      <c r="F161" s="138"/>
      <c r="G161" s="140"/>
      <c r="H161" s="139"/>
      <c r="I161" s="151"/>
      <c r="L161" s="86"/>
      <c r="M161" s="138"/>
      <c r="N161" s="86"/>
      <c r="O161" s="138"/>
      <c r="P161" s="140"/>
      <c r="Q161" s="139"/>
      <c r="U161" s="28"/>
      <c r="W161" s="28"/>
      <c r="X161" s="28"/>
      <c r="Y161" s="28"/>
      <c r="Z161" s="28"/>
    </row>
    <row r="162" spans="2:26" x14ac:dyDescent="0.2">
      <c r="B162" s="71" t="s">
        <v>242</v>
      </c>
      <c r="C162" s="87">
        <f>SUM(C156:C160)</f>
        <v>55926.89533949137</v>
      </c>
      <c r="D162" s="138">
        <f>C162/$C$162</f>
        <v>1</v>
      </c>
      <c r="E162" s="87">
        <f>SUM(E156:E160)</f>
        <v>35180.636026369313</v>
      </c>
      <c r="F162" s="138">
        <f t="shared" si="63"/>
        <v>1</v>
      </c>
      <c r="G162" s="141">
        <f>C162-E162</f>
        <v>20746.259313122056</v>
      </c>
      <c r="H162" s="142">
        <f>(C162/E162)-1</f>
        <v>0.58970677214510547</v>
      </c>
      <c r="I162" s="221">
        <f>C162/$C$201</f>
        <v>0.12898943690807205</v>
      </c>
      <c r="K162" s="71" t="s">
        <v>242</v>
      </c>
      <c r="L162" s="87">
        <f>SUM(L156:L160)</f>
        <v>144799.16763478139</v>
      </c>
      <c r="M162" s="138">
        <f>L162/$L$162</f>
        <v>1</v>
      </c>
      <c r="N162" s="87">
        <f>SUM(N156:N160)</f>
        <v>102110.58716041788</v>
      </c>
      <c r="O162" s="138">
        <f>N162/$N$162</f>
        <v>1</v>
      </c>
      <c r="P162" s="141">
        <f>L162-N162</f>
        <v>42688.580474363509</v>
      </c>
      <c r="Q162" s="142">
        <f>(L162/N162)-1</f>
        <v>0.41806223685012056</v>
      </c>
      <c r="U162" s="28"/>
      <c r="W162" s="28"/>
      <c r="X162" s="28"/>
      <c r="Y162" s="28"/>
      <c r="Z162" s="28"/>
    </row>
    <row r="163" spans="2:26" x14ac:dyDescent="0.2">
      <c r="C163" s="86"/>
      <c r="D163" s="143"/>
      <c r="E163" s="86"/>
      <c r="F163" s="143"/>
      <c r="G163" s="171"/>
      <c r="H163" s="139"/>
      <c r="I163" s="221">
        <f>E162/$E$201</f>
        <v>9.5729813496356814E-2</v>
      </c>
      <c r="L163" s="86"/>
      <c r="M163" s="143"/>
      <c r="N163" s="86"/>
      <c r="O163" s="143"/>
      <c r="P163" s="171"/>
      <c r="Q163" s="139"/>
      <c r="U163" s="28"/>
      <c r="W163" s="28"/>
      <c r="X163" s="28"/>
      <c r="Y163" s="28"/>
      <c r="Z163" s="28"/>
    </row>
    <row r="164" spans="2:26" x14ac:dyDescent="0.2">
      <c r="B164" s="71" t="s">
        <v>42</v>
      </c>
      <c r="C164" s="87">
        <f>'[17]Q3''24 Vs Q3''23 &amp; Bud'!$AA$16*3.6726*(('2024 IR Data Book'!$A$5))</f>
        <v>10556.858154622712</v>
      </c>
      <c r="D164" s="138">
        <f>C164/$C$162</f>
        <v>0.18876174138649626</v>
      </c>
      <c r="E164" s="87">
        <f>'[17]Q3''24 Vs Q3''23 &amp; Bud'!$AB$16*3.6726*(('2024 IR Data Book'!$A$5))</f>
        <v>5531.4836084445897</v>
      </c>
      <c r="F164" s="138">
        <f t="shared" si="63"/>
        <v>0.15723091544730797</v>
      </c>
      <c r="G164" s="141">
        <f>C164-E164</f>
        <v>5025.3745461781227</v>
      </c>
      <c r="H164" s="142">
        <f>(C164/E164)-1</f>
        <v>0.90850392081180176</v>
      </c>
      <c r="I164" s="151"/>
      <c r="K164" s="71" t="s">
        <v>42</v>
      </c>
      <c r="L164" s="87">
        <f>'[17]YTD''24 Vs YTD''23 &amp; Bud'!$AA$16*3.6726*(('2024 IR Data Book'!$A$5))</f>
        <v>23927.516501110262</v>
      </c>
      <c r="M164" s="138">
        <f>L164/$L$162</f>
        <v>0.16524622960168708</v>
      </c>
      <c r="N164" s="87">
        <f>'[17]YTD''24 Vs YTD''23 &amp; Bud'!$AB$16*3.6726*(('2024 IR Data Book'!$A$5))</f>
        <v>17580.981028874492</v>
      </c>
      <c r="O164" s="138">
        <f>N164/$N$162</f>
        <v>0.17217588810114665</v>
      </c>
      <c r="P164" s="141">
        <f>L164-N164</f>
        <v>6346.5354722357697</v>
      </c>
      <c r="Q164" s="142">
        <f>(L164/N164)-1</f>
        <v>0.36098869919786636</v>
      </c>
      <c r="U164" s="28"/>
      <c r="W164" s="28"/>
      <c r="X164" s="28"/>
      <c r="Y164" s="28"/>
      <c r="Z164" s="28"/>
    </row>
    <row r="165" spans="2:26" x14ac:dyDescent="0.2">
      <c r="I165" s="151"/>
      <c r="U165" s="28"/>
      <c r="W165" s="28"/>
      <c r="X165" s="28"/>
      <c r="Y165" s="28"/>
      <c r="Z165" s="28"/>
    </row>
    <row r="166" spans="2:26" x14ac:dyDescent="0.2">
      <c r="B166" s="71" t="s">
        <v>243</v>
      </c>
      <c r="C166" s="150" t="str">
        <f>$C$6</f>
        <v>Q3'24</v>
      </c>
      <c r="D166" s="135"/>
      <c r="E166" s="150" t="str">
        <f>$E$6</f>
        <v>Q3'23</v>
      </c>
      <c r="G166" s="170" t="s">
        <v>236</v>
      </c>
      <c r="H166" s="150" t="s">
        <v>38</v>
      </c>
      <c r="I166" s="151"/>
      <c r="K166" s="71" t="s">
        <v>243</v>
      </c>
      <c r="L166" s="150" t="str">
        <f>$L$6</f>
        <v>Sep'24 YTD</v>
      </c>
      <c r="M166" s="135"/>
      <c r="N166" s="150" t="str">
        <f>$N$6</f>
        <v>Sep'23 YTD</v>
      </c>
      <c r="P166" s="170" t="s">
        <v>236</v>
      </c>
      <c r="Q166" s="150" t="s">
        <v>38</v>
      </c>
      <c r="U166" s="28"/>
      <c r="W166" s="28"/>
      <c r="X166" s="28"/>
      <c r="Y166" s="28"/>
      <c r="Z166" s="28"/>
    </row>
    <row r="167" spans="2:26" x14ac:dyDescent="0.2">
      <c r="B167" s="20" t="s">
        <v>238</v>
      </c>
      <c r="C167" s="83">
        <f>'[18]Regional Volumes '!$I$48</f>
        <v>12827217</v>
      </c>
      <c r="D167" s="83"/>
      <c r="E167" s="83">
        <f>'[18]Regional Volumes '!$J$48</f>
        <v>10319009</v>
      </c>
      <c r="F167" s="89"/>
      <c r="G167" s="140">
        <f t="shared" ref="G167:G169" si="67">C167-E167</f>
        <v>2508208</v>
      </c>
      <c r="H167" s="139">
        <f t="shared" ref="H167:H169" si="68">(C167/E167)-1</f>
        <v>0.24306675185572568</v>
      </c>
      <c r="I167" s="152"/>
      <c r="K167" s="20" t="s">
        <v>238</v>
      </c>
      <c r="L167" s="83">
        <f>'[18]Regional Volumes '!$O$48</f>
        <v>35605780</v>
      </c>
      <c r="M167" s="83"/>
      <c r="N167" s="83">
        <f>'[18]Regional Volumes '!$P$48</f>
        <v>30255230</v>
      </c>
      <c r="O167" s="89"/>
      <c r="P167" s="140">
        <f t="shared" ref="P167:P169" si="69">L167-N167</f>
        <v>5350550</v>
      </c>
      <c r="Q167" s="139">
        <f t="shared" ref="Q167:Q169" si="70">(L167/N167)-1</f>
        <v>0.17684711040041678</v>
      </c>
      <c r="U167" s="28"/>
      <c r="W167" s="28"/>
      <c r="X167" s="28"/>
      <c r="Y167" s="28"/>
      <c r="Z167" s="28"/>
    </row>
    <row r="168" spans="2:26" x14ac:dyDescent="0.2">
      <c r="B168" s="20" t="s">
        <v>237</v>
      </c>
      <c r="C168" s="253">
        <f>'[18]Regional Volumes '!$I$22+'[18]Regional Volumes '!$I$35</f>
        <v>5716</v>
      </c>
      <c r="D168" s="254"/>
      <c r="E168" s="253">
        <f>'[18]Regional Volumes '!$J$22+'[18]Regional Volumes '!$J$35</f>
        <v>6416</v>
      </c>
      <c r="F168" s="144"/>
      <c r="G168" s="140">
        <f t="shared" si="67"/>
        <v>-700</v>
      </c>
      <c r="H168" s="139">
        <f t="shared" si="68"/>
        <v>-0.10910224438902738</v>
      </c>
      <c r="I168" s="151"/>
      <c r="K168" s="20" t="s">
        <v>237</v>
      </c>
      <c r="L168" s="253">
        <f>'[18]Regional Volumes '!$O$22+'[18]Regional Volumes '!$O$35</f>
        <v>16727</v>
      </c>
      <c r="M168" s="254"/>
      <c r="N168" s="253">
        <f>'[18]Regional Volumes '!$P$22+'[18]Regional Volumes '!$P$35</f>
        <v>19527</v>
      </c>
      <c r="O168" s="144"/>
      <c r="P168" s="140">
        <f t="shared" si="69"/>
        <v>-2800</v>
      </c>
      <c r="Q168" s="139">
        <v>5.972515856236793E-2</v>
      </c>
      <c r="U168" s="28"/>
      <c r="W168" s="28"/>
      <c r="X168" s="28"/>
      <c r="Y168" s="28"/>
      <c r="Z168" s="28"/>
    </row>
    <row r="169" spans="2:26" x14ac:dyDescent="0.2">
      <c r="B169" s="146"/>
      <c r="C169" s="35">
        <f>C168+C167</f>
        <v>12832933</v>
      </c>
      <c r="D169" s="35"/>
      <c r="E169" s="35">
        <f>E168+E167</f>
        <v>10325425</v>
      </c>
      <c r="F169" s="146"/>
      <c r="G169" s="247">
        <f t="shared" si="67"/>
        <v>2507508</v>
      </c>
      <c r="H169" s="248">
        <f t="shared" si="68"/>
        <v>0.2428479215141266</v>
      </c>
      <c r="I169" s="153"/>
      <c r="K169" s="146"/>
      <c r="L169" s="35">
        <f>L168+L167</f>
        <v>35622507</v>
      </c>
      <c r="M169" s="35"/>
      <c r="N169" s="35">
        <f>N168+N167</f>
        <v>30274757</v>
      </c>
      <c r="O169" s="146"/>
      <c r="P169" s="247">
        <f t="shared" si="69"/>
        <v>5347750</v>
      </c>
      <c r="Q169" s="248">
        <f t="shared" si="70"/>
        <v>0.17664055899771558</v>
      </c>
      <c r="U169" s="28"/>
      <c r="W169" s="28"/>
      <c r="X169" s="28"/>
      <c r="Y169" s="28"/>
      <c r="Z169" s="28"/>
    </row>
    <row r="170" spans="2:26" x14ac:dyDescent="0.2">
      <c r="I170" s="151"/>
      <c r="U170" s="28"/>
      <c r="W170" s="28"/>
      <c r="X170" s="28"/>
      <c r="Y170" s="28"/>
      <c r="Z170" s="28"/>
    </row>
    <row r="171" spans="2:26" x14ac:dyDescent="0.2">
      <c r="B171" s="71" t="s">
        <v>252</v>
      </c>
      <c r="I171" s="151"/>
      <c r="K171" s="71" t="s">
        <v>252</v>
      </c>
      <c r="M171" s="92"/>
      <c r="O171" s="133"/>
      <c r="U171" s="28"/>
      <c r="W171" s="28"/>
      <c r="X171" s="28"/>
      <c r="Y171" s="28"/>
      <c r="Z171" s="28"/>
    </row>
    <row r="172" spans="2:26" x14ac:dyDescent="0.2">
      <c r="B172" s="58" t="str">
        <f>$B$3</f>
        <v>Q3'24 vs Q3'23</v>
      </c>
      <c r="I172" s="151"/>
      <c r="K172" s="58" t="str">
        <f>$K$3</f>
        <v>Sep'24 YTD vs Sep'23 YTD</v>
      </c>
      <c r="U172" s="28"/>
      <c r="W172" s="28"/>
      <c r="X172" s="28"/>
      <c r="Y172" s="28"/>
      <c r="Z172" s="28"/>
    </row>
    <row r="173" spans="2:26" x14ac:dyDescent="0.2">
      <c r="B173" s="50" t="s">
        <v>233</v>
      </c>
      <c r="I173" s="151"/>
      <c r="K173" s="50" t="s">
        <v>234</v>
      </c>
      <c r="U173" s="28"/>
      <c r="W173" s="28"/>
      <c r="X173" s="28"/>
      <c r="Y173" s="28"/>
      <c r="Z173" s="28"/>
    </row>
    <row r="174" spans="2:26" x14ac:dyDescent="0.2">
      <c r="C174" s="150" t="s">
        <v>235</v>
      </c>
      <c r="D174" s="135"/>
      <c r="E174" s="150" t="s">
        <v>235</v>
      </c>
      <c r="I174" s="151"/>
      <c r="L174" s="150" t="s">
        <v>235</v>
      </c>
      <c r="M174" s="135"/>
      <c r="N174" s="150" t="s">
        <v>235</v>
      </c>
      <c r="U174" s="28"/>
      <c r="W174" s="28"/>
      <c r="X174" s="28"/>
      <c r="Y174" s="28"/>
      <c r="Z174" s="28"/>
    </row>
    <row r="175" spans="2:26" x14ac:dyDescent="0.2">
      <c r="B175" s="136"/>
      <c r="C175" s="150" t="str">
        <f>$C$6</f>
        <v>Q3'24</v>
      </c>
      <c r="D175" s="135"/>
      <c r="E175" s="150" t="str">
        <f>$E$6</f>
        <v>Q3'23</v>
      </c>
      <c r="G175" s="170" t="s">
        <v>236</v>
      </c>
      <c r="H175" s="150" t="s">
        <v>38</v>
      </c>
      <c r="I175" s="151"/>
      <c r="K175" s="136"/>
      <c r="L175" s="150" t="str">
        <f>$L$6</f>
        <v>Sep'24 YTD</v>
      </c>
      <c r="M175" s="135"/>
      <c r="N175" s="150" t="str">
        <f>$N$6</f>
        <v>Sep'23 YTD</v>
      </c>
      <c r="P175" s="170" t="s">
        <v>236</v>
      </c>
      <c r="Q175" s="150" t="s">
        <v>38</v>
      </c>
      <c r="U175" s="28"/>
      <c r="W175" s="28"/>
      <c r="X175" s="28"/>
      <c r="Y175" s="28"/>
      <c r="Z175" s="28"/>
    </row>
    <row r="176" spans="2:26" x14ac:dyDescent="0.2">
      <c r="H176" s="137"/>
      <c r="I176" s="151"/>
      <c r="Q176" s="137"/>
      <c r="U176" s="28"/>
      <c r="W176" s="28"/>
      <c r="X176" s="28"/>
      <c r="Y176" s="28"/>
      <c r="Z176" s="28"/>
    </row>
    <row r="177" spans="2:26" x14ac:dyDescent="0.2">
      <c r="B177" s="20" t="s">
        <v>237</v>
      </c>
      <c r="C177" s="86">
        <f>'[17]Q3''24 Vs Q3''23 &amp; Bud'!$AI$8*3.6726*(('2024 IR Data Book'!$A$5))</f>
        <v>1008.2143299999999</v>
      </c>
      <c r="D177" s="138">
        <f>C177/$C$183</f>
        <v>0.78297720996350673</v>
      </c>
      <c r="E177" s="86">
        <f>'[17]Q3''24 Vs Q3''23 &amp; Bud'!$AJ$8*3.6726*(('2024 IR Data Book'!$A$5))</f>
        <v>2516.6257074221157</v>
      </c>
      <c r="F177" s="138">
        <f>E177/$E$183</f>
        <v>1.3592815974305694</v>
      </c>
      <c r="G177" s="140">
        <f>C177-E177</f>
        <v>-1508.4113774221159</v>
      </c>
      <c r="H177" s="139">
        <f>(C177/E177)-1</f>
        <v>-0.59937851424367916</v>
      </c>
      <c r="I177" s="151"/>
      <c r="K177" s="20" t="s">
        <v>237</v>
      </c>
      <c r="L177" s="86">
        <f>'[17]YTD''24 Vs YTD''23 &amp; Bud'!$AI$8*3.6726*(('2024 IR Data Book'!$A$5))</f>
        <v>3018.3068599999992</v>
      </c>
      <c r="M177" s="138">
        <f>L177/$L$183</f>
        <v>0.82569240906744823</v>
      </c>
      <c r="N177" s="86">
        <f>'[17]YTD''24 Vs YTD''23 &amp; Bud'!$AJ$8*3.6726*(('2024 IR Data Book'!$A$5))</f>
        <v>5717.6537040604326</v>
      </c>
      <c r="O177" s="138">
        <f>N177/$N$183</f>
        <v>0.91420366054132196</v>
      </c>
      <c r="P177" s="140">
        <f>L177-N177</f>
        <v>-2699.3468440604333</v>
      </c>
      <c r="Q177" s="139">
        <f>(L177/N177)-1</f>
        <v>-0.47210743843116498</v>
      </c>
      <c r="U177" s="28"/>
      <c r="W177" s="28"/>
      <c r="X177" s="28"/>
      <c r="Y177" s="28"/>
      <c r="Z177" s="28"/>
    </row>
    <row r="178" spans="2:26" x14ac:dyDescent="0.2">
      <c r="B178" s="20" t="s">
        <v>238</v>
      </c>
      <c r="C178" s="86">
        <f>'[17]Q3''24 Vs Q3''23 &amp; Bud'!$AI$9*3.6726*(('2024 IR Data Book'!$A$5))</f>
        <v>158.02799999999999</v>
      </c>
      <c r="D178" s="138">
        <f t="shared" ref="D178:D181" si="71">C178/$C$183</f>
        <v>0.12272422525090776</v>
      </c>
      <c r="E178" s="86">
        <f>'[17]Q3''24 Vs Q3''23 &amp; Bud'!$AJ$9*3.6726*(('2024 IR Data Book'!$A$5))</f>
        <v>180.00199999999998</v>
      </c>
      <c r="F178" s="138">
        <f t="shared" ref="F178:F181" si="72">E178/$E$183</f>
        <v>9.7222803287393286E-2</v>
      </c>
      <c r="G178" s="140">
        <f t="shared" ref="G178:G181" si="73">C178-E178</f>
        <v>-21.97399999999999</v>
      </c>
      <c r="H178" s="139" t="s">
        <v>248</v>
      </c>
      <c r="I178" s="151"/>
      <c r="K178" s="20" t="s">
        <v>238</v>
      </c>
      <c r="L178" s="86">
        <f>'[17]YTD''24 Vs YTD''23 &amp; Bud'!$AI$9*3.6726*(('2024 IR Data Book'!$A$5))</f>
        <v>242.55500000000001</v>
      </c>
      <c r="M178" s="138">
        <f t="shared" ref="M178:M181" si="74">L178/$L$183</f>
        <v>6.6353698139676551E-2</v>
      </c>
      <c r="N178" s="86">
        <f>'[17]YTD''24 Vs YTD''23 &amp; Bud'!$AJ$9*3.6726*(('2024 IR Data Book'!$A$5))</f>
        <v>180.00199999999998</v>
      </c>
      <c r="O178" s="138">
        <f>N178/$N$183</f>
        <v>2.8780771942850725E-2</v>
      </c>
      <c r="P178" s="140">
        <f t="shared" ref="P178:P181" si="75">L178-N178</f>
        <v>62.553000000000026</v>
      </c>
      <c r="Q178" s="139">
        <f>(L178/N178)-1</f>
        <v>0.34751280541327345</v>
      </c>
      <c r="U178" s="28"/>
      <c r="W178" s="28"/>
      <c r="X178" s="28"/>
      <c r="Y178" s="28"/>
      <c r="Z178" s="28"/>
    </row>
    <row r="179" spans="2:26" x14ac:dyDescent="0.2">
      <c r="B179" s="20" t="s">
        <v>239</v>
      </c>
      <c r="C179" s="86">
        <f>'[17]Q3''24 Vs Q3''23 &amp; Bud'!$AI$10*3.6726*(('2024 IR Data Book'!$A$5))</f>
        <v>0</v>
      </c>
      <c r="D179" s="138">
        <f t="shared" si="71"/>
        <v>0</v>
      </c>
      <c r="E179" s="86">
        <f>'[17]Q3''24 Vs Q3''23 &amp; Bud'!$AJ$10*3.6726*(('2024 IR Data Book'!$A$5))</f>
        <v>-991.83199999999999</v>
      </c>
      <c r="F179" s="138">
        <f t="shared" si="72"/>
        <v>-0.53570897784547877</v>
      </c>
      <c r="G179" s="81">
        <f t="shared" si="73"/>
        <v>991.83199999999999</v>
      </c>
      <c r="H179" s="82">
        <f>(C179/E179)-1</f>
        <v>-1</v>
      </c>
      <c r="I179" s="151"/>
      <c r="K179" s="20" t="s">
        <v>239</v>
      </c>
      <c r="L179" s="86">
        <f>'[17]YTD''24 Vs YTD''23 &amp; Bud'!$AI$10*3.6726*(('2024 IR Data Book'!$A$5))</f>
        <v>0</v>
      </c>
      <c r="M179" s="138">
        <f t="shared" si="74"/>
        <v>0</v>
      </c>
      <c r="N179" s="86">
        <f>'[17]YTD''24 Vs YTD''23 &amp; Bud'!$AJ$10*3.6726*(('2024 IR Data Book'!$A$5))</f>
        <v>0</v>
      </c>
      <c r="O179" s="138">
        <f>N179/$N$183</f>
        <v>0</v>
      </c>
      <c r="P179" s="81">
        <f t="shared" si="75"/>
        <v>0</v>
      </c>
      <c r="Q179" s="139" t="s">
        <v>248</v>
      </c>
      <c r="U179" s="28"/>
      <c r="W179" s="28"/>
      <c r="X179" s="28"/>
      <c r="Y179" s="28"/>
      <c r="Z179" s="28"/>
    </row>
    <row r="180" spans="2:26" x14ac:dyDescent="0.2">
      <c r="B180" s="20" t="s">
        <v>240</v>
      </c>
      <c r="C180" s="86">
        <f>'[17]Q3''24 Vs Q3''23 &amp; Bud'!$AI$11*3.6726*(('2024 IR Data Book'!$A$5))</f>
        <v>0</v>
      </c>
      <c r="D180" s="138">
        <f t="shared" si="71"/>
        <v>0</v>
      </c>
      <c r="E180" s="86">
        <f>'[17]Q3''24 Vs Q3''23 &amp; Bud'!$AJ$11*3.6726*(('2024 IR Data Book'!$A$5))</f>
        <v>0</v>
      </c>
      <c r="F180" s="138">
        <f t="shared" si="72"/>
        <v>0</v>
      </c>
      <c r="G180" s="140">
        <f t="shared" si="73"/>
        <v>0</v>
      </c>
      <c r="H180" s="139" t="s">
        <v>248</v>
      </c>
      <c r="I180" s="151"/>
      <c r="K180" s="20" t="s">
        <v>240</v>
      </c>
      <c r="L180" s="86">
        <f>'[17]YTD''24 Vs YTD''23 &amp; Bud'!$AI$11*3.6726*(('2024 IR Data Book'!$A$5))</f>
        <v>0</v>
      </c>
      <c r="M180" s="138">
        <f t="shared" si="74"/>
        <v>0</v>
      </c>
      <c r="N180" s="86">
        <f>'[17]YTD''24 Vs YTD''23 &amp; Bud'!$AJ$11*3.6726*(('2024 IR Data Book'!$A$5))</f>
        <v>0</v>
      </c>
      <c r="O180" s="138">
        <f>N180/$N$183</f>
        <v>0</v>
      </c>
      <c r="P180" s="140">
        <f t="shared" si="75"/>
        <v>0</v>
      </c>
      <c r="Q180" s="139" t="s">
        <v>248</v>
      </c>
      <c r="U180" s="28"/>
      <c r="W180" s="28"/>
      <c r="X180" s="28"/>
      <c r="Y180" s="28"/>
      <c r="Z180" s="28"/>
    </row>
    <row r="181" spans="2:26" x14ac:dyDescent="0.2">
      <c r="B181" s="20" t="s">
        <v>241</v>
      </c>
      <c r="C181" s="86">
        <f>'[17]Q3''24 Vs Q3''23 &amp; Bud'!$AI$12*3.6726*(('2024 IR Data Book'!$A$5))</f>
        <v>121.4252</v>
      </c>
      <c r="D181" s="138">
        <f t="shared" si="71"/>
        <v>9.4298564785585626E-2</v>
      </c>
      <c r="E181" s="86">
        <f>'[17]Q3''24 Vs Q3''23 &amp; Bud'!$AJ$12*3.6726*(('2024 IR Data Book'!$A$5))</f>
        <v>146.64237</v>
      </c>
      <c r="F181" s="138">
        <f t="shared" si="72"/>
        <v>7.9204577127516052E-2</v>
      </c>
      <c r="G181" s="140">
        <f t="shared" si="73"/>
        <v>-25.217169999999996</v>
      </c>
      <c r="H181" s="139">
        <f>(C181/E181)-1</f>
        <v>-0.1719637373563998</v>
      </c>
      <c r="I181" s="151"/>
      <c r="K181" s="20" t="s">
        <v>241</v>
      </c>
      <c r="L181" s="86">
        <f>'[17]YTD''24 Vs YTD''23 &amp; Bud'!$AI$12*3.6726*(('2024 IR Data Book'!$A$5))</f>
        <v>394.62391999999994</v>
      </c>
      <c r="M181" s="138">
        <f t="shared" si="74"/>
        <v>0.10795389279287528</v>
      </c>
      <c r="N181" s="86">
        <f>'[17]YTD''24 Vs YTD''23 &amp; Bud'!$AJ$12*3.6726*(('2024 IR Data Book'!$A$5))</f>
        <v>356.58932999999996</v>
      </c>
      <c r="O181" s="138">
        <f>N181/$N$183</f>
        <v>5.7015567515827259E-2</v>
      </c>
      <c r="P181" s="140">
        <f t="shared" si="75"/>
        <v>38.03458999999998</v>
      </c>
      <c r="Q181" s="139">
        <f>(L181/N181)-1</f>
        <v>0.10666216512984272</v>
      </c>
      <c r="U181" s="28"/>
      <c r="W181" s="28"/>
      <c r="X181" s="28"/>
      <c r="Y181" s="28"/>
      <c r="Z181" s="28"/>
    </row>
    <row r="182" spans="2:26" x14ac:dyDescent="0.2">
      <c r="C182" s="86"/>
      <c r="D182" s="138"/>
      <c r="E182" s="86"/>
      <c r="F182" s="138"/>
      <c r="G182" s="140"/>
      <c r="H182" s="139"/>
      <c r="I182" s="151"/>
      <c r="L182" s="86"/>
      <c r="M182" s="138"/>
      <c r="N182" s="86"/>
      <c r="O182" s="138"/>
      <c r="P182" s="140"/>
      <c r="Q182" s="139"/>
      <c r="U182" s="28"/>
      <c r="W182" s="28"/>
      <c r="X182" s="28"/>
      <c r="Y182" s="28"/>
      <c r="Z182" s="28"/>
    </row>
    <row r="183" spans="2:26" x14ac:dyDescent="0.2">
      <c r="B183" s="71" t="s">
        <v>242</v>
      </c>
      <c r="C183" s="87">
        <f>SUM(C177:C181)</f>
        <v>1287.6675299999997</v>
      </c>
      <c r="D183" s="138">
        <f>C183/$C$183</f>
        <v>1</v>
      </c>
      <c r="E183" s="87">
        <f>SUM(E177:E181)</f>
        <v>1851.4380774221158</v>
      </c>
      <c r="F183" s="138">
        <f>E183/$E$183</f>
        <v>1</v>
      </c>
      <c r="G183" s="141">
        <f>C183-E183</f>
        <v>-563.77054742211612</v>
      </c>
      <c r="H183" s="142">
        <f>(C183/E183)-1</f>
        <v>-0.30450413346099725</v>
      </c>
      <c r="I183" s="151"/>
      <c r="K183" s="71" t="s">
        <v>242</v>
      </c>
      <c r="L183" s="87">
        <f>SUM(L177:L181)</f>
        <v>3655.4857799999991</v>
      </c>
      <c r="M183" s="138">
        <f>L183/$L$183</f>
        <v>1</v>
      </c>
      <c r="N183" s="87">
        <f>SUM(N177:N181)</f>
        <v>6254.2450340604328</v>
      </c>
      <c r="O183" s="138">
        <f>N183/$N$183</f>
        <v>1</v>
      </c>
      <c r="P183" s="141">
        <f>L183-N183</f>
        <v>-2598.7592540604337</v>
      </c>
      <c r="Q183" s="142">
        <f>(L183/N183)-1</f>
        <v>-0.41551925770539333</v>
      </c>
      <c r="U183" s="28"/>
      <c r="W183" s="28"/>
      <c r="X183" s="28"/>
      <c r="Y183" s="28"/>
      <c r="Z183" s="28"/>
    </row>
    <row r="184" spans="2:26" x14ac:dyDescent="0.2">
      <c r="C184" s="86"/>
      <c r="D184" s="143"/>
      <c r="E184" s="86"/>
      <c r="F184" s="143"/>
      <c r="G184" s="171"/>
      <c r="H184" s="139"/>
      <c r="I184" s="151"/>
      <c r="L184" s="86"/>
      <c r="M184" s="143"/>
      <c r="N184" s="86"/>
      <c r="O184" s="143"/>
      <c r="P184" s="171"/>
      <c r="Q184" s="139"/>
      <c r="U184" s="28"/>
      <c r="W184" s="28"/>
      <c r="X184" s="28"/>
      <c r="Y184" s="28"/>
      <c r="Z184" s="28"/>
    </row>
    <row r="185" spans="2:26" x14ac:dyDescent="0.2">
      <c r="B185" s="71" t="s">
        <v>42</v>
      </c>
      <c r="C185" s="87">
        <f>'[17]Q3''24 Vs Q3''23 &amp; Bud'!$AI$16*3.6726*(('2024 IR Data Book'!$A$5))</f>
        <v>6531.4491918013464</v>
      </c>
      <c r="D185" s="138"/>
      <c r="E185" s="87">
        <f>'[17]Q3''24 Vs Q3''23 &amp; Bud'!$AJ$16*3.6726*(('2024 IR Data Book'!$A$5))</f>
        <v>6982.5432408278184</v>
      </c>
      <c r="F185" s="144"/>
      <c r="G185" s="141">
        <f>C185-E185</f>
        <v>-451.09404902647202</v>
      </c>
      <c r="H185" s="142">
        <f>(C185/E185)-1</f>
        <v>-6.4603115722773885E-2</v>
      </c>
      <c r="I185" s="151"/>
      <c r="K185" s="71" t="s">
        <v>42</v>
      </c>
      <c r="L185" s="87">
        <f>'[17]YTD''24 Vs YTD''23 &amp; Bud'!$AI$16*3.6726*(('2024 IR Data Book'!$A$5))</f>
        <v>20162.794912372545</v>
      </c>
      <c r="M185" s="138"/>
      <c r="N185" s="87">
        <f>'[17]YTD''24 Vs YTD''23 &amp; Bud'!$AJ$16*3.6726*(('2024 IR Data Book'!$A$5))</f>
        <v>16994.024373681732</v>
      </c>
      <c r="O185" s="144"/>
      <c r="P185" s="141">
        <f>L185-N185</f>
        <v>3168.7705386908128</v>
      </c>
      <c r="Q185" s="142">
        <f>(L185/N185)-1</f>
        <v>0.1864638103966838</v>
      </c>
      <c r="U185" s="28"/>
      <c r="W185" s="28"/>
      <c r="X185" s="28"/>
      <c r="Y185" s="28"/>
      <c r="Z185" s="28"/>
    </row>
    <row r="186" spans="2:26" x14ac:dyDescent="0.2">
      <c r="C186" s="2">
        <f>C185/C183</f>
        <v>5.0723102350816811</v>
      </c>
      <c r="E186" s="2">
        <f>E185/E183</f>
        <v>3.7714160284259099</v>
      </c>
      <c r="I186" s="151"/>
      <c r="L186" s="2">
        <f>L185/L183</f>
        <v>5.5157634650605996</v>
      </c>
      <c r="N186" s="2">
        <f>N185/N183</f>
        <v>2.7171983638525163</v>
      </c>
      <c r="U186" s="28"/>
      <c r="W186" s="28"/>
      <c r="X186" s="28"/>
      <c r="Y186" s="28"/>
      <c r="Z186" s="28"/>
    </row>
    <row r="187" spans="2:26" x14ac:dyDescent="0.2">
      <c r="B187" s="146"/>
      <c r="C187" s="146"/>
      <c r="D187" s="146"/>
      <c r="E187" s="146"/>
      <c r="F187" s="146"/>
      <c r="G187" s="35"/>
      <c r="H187" s="146"/>
      <c r="I187" s="153"/>
      <c r="K187" s="146"/>
      <c r="L187" s="146"/>
      <c r="M187" s="146"/>
      <c r="N187" s="146"/>
      <c r="O187" s="146"/>
      <c r="P187" s="35"/>
      <c r="Q187" s="146"/>
      <c r="U187" s="28"/>
      <c r="W187" s="28"/>
      <c r="X187" s="28"/>
      <c r="Y187" s="28"/>
      <c r="Z187" s="28"/>
    </row>
    <row r="188" spans="2:26" x14ac:dyDescent="0.2">
      <c r="I188" s="151"/>
      <c r="U188" s="28"/>
      <c r="W188" s="28"/>
      <c r="X188" s="28"/>
      <c r="Y188" s="28"/>
      <c r="Z188" s="28"/>
    </row>
    <row r="189" spans="2:26" x14ac:dyDescent="0.2">
      <c r="B189" s="71" t="s">
        <v>253</v>
      </c>
      <c r="I189" s="151"/>
      <c r="K189" s="71" t="s">
        <v>253</v>
      </c>
      <c r="U189" s="28"/>
      <c r="W189" s="28"/>
      <c r="X189" s="28"/>
      <c r="Y189" s="28"/>
      <c r="Z189" s="28"/>
    </row>
    <row r="190" spans="2:26" x14ac:dyDescent="0.2">
      <c r="B190" s="58" t="str">
        <f>$B$3</f>
        <v>Q3'24 vs Q3'23</v>
      </c>
      <c r="I190" s="151"/>
      <c r="K190" s="58" t="str">
        <f>$K$3</f>
        <v>Sep'24 YTD vs Sep'23 YTD</v>
      </c>
      <c r="U190" s="28"/>
      <c r="W190" s="28"/>
      <c r="X190" s="28"/>
      <c r="Y190" s="28"/>
      <c r="Z190" s="28"/>
    </row>
    <row r="191" spans="2:26" x14ac:dyDescent="0.2">
      <c r="B191" s="50" t="s">
        <v>233</v>
      </c>
      <c r="I191" s="151"/>
      <c r="K191" s="50" t="s">
        <v>234</v>
      </c>
      <c r="U191" s="28"/>
      <c r="W191" s="28"/>
      <c r="X191" s="28"/>
      <c r="Y191" s="28"/>
      <c r="Z191" s="28"/>
    </row>
    <row r="192" spans="2:26" x14ac:dyDescent="0.2">
      <c r="C192" s="150" t="s">
        <v>235</v>
      </c>
      <c r="D192" s="135"/>
      <c r="E192" s="150" t="s">
        <v>235</v>
      </c>
      <c r="I192" s="151"/>
      <c r="L192" s="150" t="s">
        <v>235</v>
      </c>
      <c r="M192" s="135"/>
      <c r="N192" s="150" t="s">
        <v>235</v>
      </c>
      <c r="U192" s="28"/>
      <c r="W192" s="28"/>
      <c r="X192" s="28"/>
      <c r="Y192" s="28"/>
      <c r="Z192" s="28"/>
    </row>
    <row r="193" spans="2:26" x14ac:dyDescent="0.2">
      <c r="B193" s="136"/>
      <c r="C193" s="150" t="str">
        <f>$C$6</f>
        <v>Q3'24</v>
      </c>
      <c r="D193" s="135"/>
      <c r="E193" s="150" t="str">
        <f>$E$6</f>
        <v>Q3'23</v>
      </c>
      <c r="G193" s="170" t="s">
        <v>236</v>
      </c>
      <c r="H193" s="150" t="s">
        <v>38</v>
      </c>
      <c r="I193" s="151"/>
      <c r="K193" s="136"/>
      <c r="L193" s="150" t="str">
        <f>$L$6</f>
        <v>Sep'24 YTD</v>
      </c>
      <c r="M193" s="135"/>
      <c r="N193" s="150" t="str">
        <f>$N$6</f>
        <v>Sep'23 YTD</v>
      </c>
      <c r="P193" s="170" t="s">
        <v>236</v>
      </c>
      <c r="Q193" s="150" t="s">
        <v>38</v>
      </c>
      <c r="U193" s="28"/>
      <c r="W193" s="28"/>
      <c r="X193" s="28"/>
      <c r="Y193" s="28"/>
      <c r="Z193" s="28"/>
    </row>
    <row r="194" spans="2:26" x14ac:dyDescent="0.2">
      <c r="H194" s="137"/>
      <c r="I194" s="151"/>
      <c r="Q194" s="137"/>
      <c r="U194" s="28"/>
      <c r="W194" s="28"/>
      <c r="X194" s="28"/>
      <c r="Y194" s="28"/>
      <c r="Z194" s="28"/>
    </row>
    <row r="195" spans="2:26" x14ac:dyDescent="0.2">
      <c r="B195" s="20" t="s">
        <v>237</v>
      </c>
      <c r="C195" s="86">
        <f>C8+C30+C51+C72+C93+C114+C135+C156+C177</f>
        <v>153111.98446689991</v>
      </c>
      <c r="D195" s="138">
        <f>C195/$C$201</f>
        <v>0.35313651044593297</v>
      </c>
      <c r="E195" s="86">
        <f>E8+E30+E51+E72+E93+E114+E135+E156+E177</f>
        <v>139397.41727874722</v>
      </c>
      <c r="F195" s="138">
        <f>E195/$E$201</f>
        <v>0.37931345948282635</v>
      </c>
      <c r="G195" s="140">
        <f>C195-E195</f>
        <v>13714.567188152694</v>
      </c>
      <c r="H195" s="139">
        <f>(C195/E195)-1</f>
        <v>9.8384657735288261E-2</v>
      </c>
      <c r="I195" s="151"/>
      <c r="K195" s="20" t="s">
        <v>237</v>
      </c>
      <c r="L195" s="86">
        <f>L8+L30+L51+L72+L93+L114+L135+L156+L177</f>
        <v>489414.56246009114</v>
      </c>
      <c r="M195" s="138">
        <f>L195/$L$201</f>
        <v>0.38827025027103984</v>
      </c>
      <c r="N195" s="86">
        <f>N8+N30+N51+N72+N93+N114+N135+N156+N177</f>
        <v>446433.87758263852</v>
      </c>
      <c r="O195" s="138">
        <f>N195/$N$201</f>
        <v>0.39318172783546862</v>
      </c>
      <c r="P195" s="140">
        <f>L195-N195</f>
        <v>42980.684877452615</v>
      </c>
      <c r="Q195" s="139">
        <f>(L195/N195)-1</f>
        <v>9.6275589814522E-2</v>
      </c>
      <c r="U195" s="28"/>
      <c r="W195" s="28"/>
      <c r="X195" s="28"/>
      <c r="Y195" s="28"/>
      <c r="Z195" s="28"/>
    </row>
    <row r="196" spans="2:26" x14ac:dyDescent="0.2">
      <c r="B196" s="20" t="s">
        <v>238</v>
      </c>
      <c r="C196" s="86">
        <f t="shared" ref="C196:E199" si="76">C9+C31+C52+C73+C94+C115+C136+C157+C178</f>
        <v>122156.86404240274</v>
      </c>
      <c r="D196" s="138">
        <f t="shared" ref="D196:D199" si="77">C196/$C$201</f>
        <v>0.28174181691360711</v>
      </c>
      <c r="E196" s="86">
        <f t="shared" si="76"/>
        <v>96007.422034040443</v>
      </c>
      <c r="F196" s="138">
        <f t="shared" ref="F196:F199" si="78">E196/$E$201</f>
        <v>0.26124520883294583</v>
      </c>
      <c r="G196" s="140">
        <f t="shared" ref="G196:G199" si="79">C196-E196</f>
        <v>26149.442008362297</v>
      </c>
      <c r="H196" s="139">
        <f>(C196/E196)-1</f>
        <v>0.27236896329838678</v>
      </c>
      <c r="I196" s="151"/>
      <c r="K196" s="20" t="s">
        <v>238</v>
      </c>
      <c r="L196" s="86">
        <f t="shared" ref="L196" si="80">L9+L31+L52+L73+L94+L115+L136+L157+L178</f>
        <v>328081.4313028332</v>
      </c>
      <c r="M196" s="138">
        <f t="shared" ref="M196:M199" si="81">L196/$L$201</f>
        <v>0.26027884989960726</v>
      </c>
      <c r="N196" s="86">
        <f t="shared" ref="N196" si="82">N9+N31+N52+N73+N94+N115+N136+N157+N178</f>
        <v>290157.96282365452</v>
      </c>
      <c r="O196" s="138">
        <f>N196/$N$201</f>
        <v>0.25554693516086519</v>
      </c>
      <c r="P196" s="140">
        <f t="shared" ref="P196:P199" si="83">L196-N196</f>
        <v>37923.468479178671</v>
      </c>
      <c r="Q196" s="139">
        <f>(L196/N196)-1</f>
        <v>0.13069938908492729</v>
      </c>
      <c r="U196" s="28"/>
      <c r="W196" s="28"/>
      <c r="X196" s="28"/>
      <c r="Y196" s="28"/>
      <c r="Z196" s="28"/>
    </row>
    <row r="197" spans="2:26" x14ac:dyDescent="0.2">
      <c r="B197" s="20" t="s">
        <v>239</v>
      </c>
      <c r="C197" s="86">
        <f t="shared" si="76"/>
        <v>122443.4614404024</v>
      </c>
      <c r="D197" s="138">
        <f t="shared" si="77"/>
        <v>0.2824028233357031</v>
      </c>
      <c r="E197" s="86">
        <f>E10+E32+E53+E74+E95+E116+E137+E158+E179</f>
        <v>100177.30745756926</v>
      </c>
      <c r="F197" s="138">
        <f t="shared" si="78"/>
        <v>0.27259185855230811</v>
      </c>
      <c r="G197" s="81">
        <f t="shared" si="79"/>
        <v>22266.153982833144</v>
      </c>
      <c r="H197" s="82">
        <f>(C197/E197)-1</f>
        <v>0.22226744307600921</v>
      </c>
      <c r="I197" s="151"/>
      <c r="K197" s="20" t="s">
        <v>239</v>
      </c>
      <c r="L197" s="86">
        <f t="shared" ref="L197" si="84">L10+L32+L53+L74+L95+L116+L137+L158+L179</f>
        <v>342942.81699970394</v>
      </c>
      <c r="M197" s="138">
        <f t="shared" si="81"/>
        <v>0.27206892397278926</v>
      </c>
      <c r="N197" s="86">
        <f t="shared" ref="N197" si="85">N10+N32+N53+N74+N95+N116+N137+N158+N179</f>
        <v>302769.97451189248</v>
      </c>
      <c r="O197" s="138">
        <f>N197/$N$201</f>
        <v>0.26665454324364246</v>
      </c>
      <c r="P197" s="81">
        <f t="shared" si="83"/>
        <v>40172.84248781146</v>
      </c>
      <c r="Q197" s="82">
        <f>(L197/N197)-1</f>
        <v>0.13268436724142041</v>
      </c>
      <c r="U197" s="28"/>
      <c r="W197" s="28"/>
      <c r="X197" s="28"/>
      <c r="Y197" s="28"/>
      <c r="Z197" s="28"/>
    </row>
    <row r="198" spans="2:26" x14ac:dyDescent="0.2">
      <c r="B198" s="20" t="s">
        <v>240</v>
      </c>
      <c r="C198" s="86">
        <f t="shared" si="76"/>
        <v>32215.1776789178</v>
      </c>
      <c r="D198" s="138">
        <f t="shared" si="77"/>
        <v>7.4300881596816526E-2</v>
      </c>
      <c r="E198" s="86">
        <f t="shared" si="76"/>
        <v>28539.18500281969</v>
      </c>
      <c r="F198" s="138">
        <f t="shared" si="78"/>
        <v>7.7657801740996651E-2</v>
      </c>
      <c r="G198" s="140">
        <f t="shared" si="79"/>
        <v>3675.9926760981107</v>
      </c>
      <c r="H198" s="139">
        <f>(C198/E198)-1</f>
        <v>0.12880510343007057</v>
      </c>
      <c r="I198" s="151"/>
      <c r="K198" s="20" t="s">
        <v>240</v>
      </c>
      <c r="L198" s="86">
        <f t="shared" ref="L198" si="86">L11+L33+L54+L75+L96+L117+L138+L159+L180</f>
        <v>90559.210452243933</v>
      </c>
      <c r="M198" s="138">
        <f t="shared" si="81"/>
        <v>7.1843892690683323E-2</v>
      </c>
      <c r="N198" s="86">
        <f t="shared" ref="N198" si="87">N11+N33+N54+N75+N96+N117+N138+N159+N180</f>
        <v>86607.155496170366</v>
      </c>
      <c r="O198" s="138">
        <f>N198/$N$201</f>
        <v>7.6276359727193863E-2</v>
      </c>
      <c r="P198" s="140">
        <f t="shared" si="83"/>
        <v>3952.0549560735672</v>
      </c>
      <c r="Q198" s="139">
        <f>(L198/N198)-1</f>
        <v>4.5631968091231379E-2</v>
      </c>
      <c r="U198" s="28"/>
      <c r="W198" s="28"/>
      <c r="X198" s="28"/>
      <c r="Y198" s="28"/>
      <c r="Z198" s="28"/>
    </row>
    <row r="199" spans="2:26" x14ac:dyDescent="0.2">
      <c r="B199" s="20" t="s">
        <v>241</v>
      </c>
      <c r="C199" s="86">
        <f>C12+C34+C55+C76+C97+C118+C139+C160+C181</f>
        <v>3649.8399423878323</v>
      </c>
      <c r="D199" s="138">
        <f t="shared" si="77"/>
        <v>8.4179677079403246E-3</v>
      </c>
      <c r="E199" s="86">
        <f t="shared" si="76"/>
        <v>3377.9324733601693</v>
      </c>
      <c r="F199" s="138">
        <f t="shared" si="78"/>
        <v>9.1916713909230702E-3</v>
      </c>
      <c r="G199" s="140">
        <f t="shared" si="79"/>
        <v>271.90746902766296</v>
      </c>
      <c r="H199" s="139">
        <f>(C199/E199)-1</f>
        <v>8.0495235228069895E-2</v>
      </c>
      <c r="I199" s="151"/>
      <c r="K199" s="20" t="s">
        <v>241</v>
      </c>
      <c r="L199" s="86">
        <f>L12+L34+L55+L76+L97+L118+L139+L160+L181</f>
        <v>9501.7521219866703</v>
      </c>
      <c r="M199" s="138">
        <f t="shared" si="81"/>
        <v>7.5380831658804284E-3</v>
      </c>
      <c r="N199" s="86">
        <f t="shared" ref="N199" si="88">N12+N34+N55+N76+N97+N118+N139+N160+N181</f>
        <v>9470.0542837955818</v>
      </c>
      <c r="O199" s="138">
        <f>N199/$N$201</f>
        <v>8.3404340328298385E-3</v>
      </c>
      <c r="P199" s="140">
        <f t="shared" si="83"/>
        <v>31.697838191088522</v>
      </c>
      <c r="Q199" s="139">
        <f>(L199/N199)-1</f>
        <v>3.3471654164989317E-3</v>
      </c>
      <c r="U199" s="28"/>
      <c r="W199" s="28"/>
      <c r="X199" s="28"/>
      <c r="Y199" s="28"/>
      <c r="Z199" s="28"/>
    </row>
    <row r="200" spans="2:26" x14ac:dyDescent="0.2">
      <c r="C200" s="86"/>
      <c r="D200" s="138"/>
      <c r="E200" s="86"/>
      <c r="F200" s="138"/>
      <c r="G200" s="140"/>
      <c r="H200" s="139"/>
      <c r="I200" s="151"/>
      <c r="L200" s="86"/>
      <c r="M200" s="138"/>
      <c r="N200" s="86"/>
      <c r="O200" s="138"/>
      <c r="P200" s="140"/>
      <c r="Q200" s="139"/>
      <c r="U200" s="28"/>
      <c r="W200" s="28"/>
      <c r="X200" s="28"/>
      <c r="Y200" s="28"/>
      <c r="Z200" s="28"/>
    </row>
    <row r="201" spans="2:26" x14ac:dyDescent="0.2">
      <c r="B201" s="71" t="s">
        <v>242</v>
      </c>
      <c r="C201" s="87">
        <f>SUM(C195:C199)</f>
        <v>433577.32757101068</v>
      </c>
      <c r="D201" s="138">
        <f>C201/C201</f>
        <v>1</v>
      </c>
      <c r="E201" s="87">
        <f>SUM(E195:E199)</f>
        <v>367499.26424653677</v>
      </c>
      <c r="F201" s="138">
        <f>E201/$E$201</f>
        <v>1</v>
      </c>
      <c r="G201" s="141">
        <f>C201-E201</f>
        <v>66078.063324473915</v>
      </c>
      <c r="H201" s="142">
        <f>(C201/E201)-1</f>
        <v>0.17980461392201708</v>
      </c>
      <c r="I201" s="151"/>
      <c r="K201" s="71" t="s">
        <v>242</v>
      </c>
      <c r="L201" s="87">
        <f>SUM(L195:L199)</f>
        <v>1260499.7733368587</v>
      </c>
      <c r="M201" s="138">
        <f>L201/L201</f>
        <v>1</v>
      </c>
      <c r="N201" s="87">
        <f>SUM(N195:N199)</f>
        <v>1135439.0246981515</v>
      </c>
      <c r="O201" s="138">
        <f>N201/$N$201</f>
        <v>1</v>
      </c>
      <c r="P201" s="141">
        <f>L201-N201</f>
        <v>125060.74863870721</v>
      </c>
      <c r="Q201" s="142">
        <f>(L201/N201)-1</f>
        <v>0.11014307762757558</v>
      </c>
      <c r="U201" s="28"/>
      <c r="W201" s="28"/>
      <c r="X201" s="28"/>
      <c r="Y201" s="28"/>
      <c r="Z201" s="28"/>
    </row>
    <row r="202" spans="2:26" x14ac:dyDescent="0.2">
      <c r="C202" s="208"/>
      <c r="D202" s="145"/>
      <c r="E202" s="208"/>
      <c r="F202" s="143"/>
      <c r="G202" s="171"/>
      <c r="H202" s="139"/>
      <c r="I202" s="151"/>
      <c r="L202" s="208"/>
      <c r="M202" s="143"/>
      <c r="N202" s="208"/>
      <c r="O202" s="143"/>
      <c r="P202" s="171"/>
      <c r="Q202" s="139"/>
      <c r="U202" s="28"/>
      <c r="W202" s="28"/>
      <c r="X202" s="28"/>
      <c r="Y202" s="28"/>
      <c r="Z202" s="28"/>
    </row>
    <row r="203" spans="2:26" x14ac:dyDescent="0.2">
      <c r="B203" s="71" t="s">
        <v>42</v>
      </c>
      <c r="C203" s="87">
        <f>C16+C38+C59+C80+C101+C122+C143+C164+C185</f>
        <v>101579.79819817856</v>
      </c>
      <c r="D203" s="144">
        <f>C203/C201</f>
        <v>0.23428300268201169</v>
      </c>
      <c r="E203" s="87">
        <f>E16+E38+E59+E80+E101+E122+E143+E164+E185</f>
        <v>91122.502399621444</v>
      </c>
      <c r="F203" s="144">
        <f>E203/E201</f>
        <v>0.24795288389609385</v>
      </c>
      <c r="G203" s="141">
        <f>C203-E203</f>
        <v>10457.295798557112</v>
      </c>
      <c r="H203" s="142">
        <f>(C203/E203)-1</f>
        <v>0.11476084966034206</v>
      </c>
      <c r="I203" s="151"/>
      <c r="K203" s="71" t="s">
        <v>42</v>
      </c>
      <c r="L203" s="87">
        <f>L16+L38+L59+L80+L101+L122+L143+L164+L185</f>
        <v>303216.76232354547</v>
      </c>
      <c r="M203" s="144">
        <f>L203/L201</f>
        <v>0.24055280987544705</v>
      </c>
      <c r="N203" s="87">
        <f>N16+N38+N59+N80+N101+N122+N143+N164+N185</f>
        <v>282688.65671532066</v>
      </c>
      <c r="O203" s="144">
        <f>N203/N201</f>
        <v>0.24896859326327228</v>
      </c>
      <c r="P203" s="141">
        <f>L203-N203</f>
        <v>20528.105608224811</v>
      </c>
      <c r="Q203" s="142">
        <f>(L203/N203)-1</f>
        <v>7.261736585666223E-2</v>
      </c>
      <c r="U203" s="28"/>
      <c r="W203" s="28"/>
      <c r="X203" s="28"/>
      <c r="Y203" s="28"/>
      <c r="Z203" s="28"/>
    </row>
    <row r="204" spans="2:26" x14ac:dyDescent="0.2">
      <c r="C204" s="89">
        <f>C203-'Group Profit &amp; Loss Stm'!T10</f>
        <v>0</v>
      </c>
      <c r="E204" s="89">
        <f>E203-'Group Profit &amp; Loss Stm'!O10</f>
        <v>-7.5781470513902605E-4</v>
      </c>
      <c r="I204" s="151"/>
      <c r="L204" s="89">
        <f>L203-'Group Profit &amp; Loss Stm'!R10-'Group Profit &amp; Loss Stm'!S10-'Group Profit &amp; Loss Stm'!T10</f>
        <v>-1.5570531832054257E-4</v>
      </c>
      <c r="N204" s="89">
        <f>N203-'Group Profit &amp; Loss Stm'!M10-'Group Profit &amp; Loss Stm'!N10-'Group Profit &amp; Loss Stm'!O10</f>
        <v>-2.5383960513863713E-2</v>
      </c>
      <c r="U204" s="28"/>
      <c r="W204" s="28"/>
      <c r="X204" s="28"/>
      <c r="Y204" s="28"/>
      <c r="Z204" s="28"/>
    </row>
    <row r="205" spans="2:26" x14ac:dyDescent="0.2">
      <c r="B205" s="28"/>
      <c r="C205" s="147">
        <f>'Group Profit &amp; Loss Stm'!T8</f>
        <v>433577.32757101068</v>
      </c>
      <c r="D205" s="147"/>
      <c r="E205" s="147">
        <f>'Group Profit &amp; Loss Stm'!O8</f>
        <v>367499.26489442354</v>
      </c>
      <c r="I205" s="151"/>
      <c r="L205" s="89">
        <f>'Group Profit &amp; Loss Stm'!R8+'Group Profit &amp; Loss Stm'!S8+'Group Profit &amp; Loss Stm'!T8</f>
        <v>1260499.773336859</v>
      </c>
      <c r="N205" s="89">
        <f>'Group Profit &amp; Loss Stm'!M8+'Group Profit &amp; Loss Stm'!N8+'Group Profit &amp; Loss Stm'!O8</f>
        <v>1135438.9407545417</v>
      </c>
      <c r="U205" s="28"/>
      <c r="W205" s="28"/>
      <c r="X205" s="28"/>
      <c r="Y205" s="28"/>
      <c r="Z205" s="28"/>
    </row>
    <row r="206" spans="2:26" x14ac:dyDescent="0.2">
      <c r="C206" s="89">
        <f>C205-C201</f>
        <v>0</v>
      </c>
      <c r="E206" s="89">
        <f>E205-E201</f>
        <v>6.4788677264004946E-4</v>
      </c>
      <c r="I206" s="151"/>
      <c r="L206" s="89">
        <f>L205-L201</f>
        <v>0</v>
      </c>
      <c r="N206" s="89">
        <f>N205-N201</f>
        <v>-8.3943609846755862E-2</v>
      </c>
      <c r="U206" s="28"/>
      <c r="W206" s="28"/>
      <c r="X206" s="28"/>
      <c r="Y206" s="28"/>
      <c r="Z206" s="28"/>
    </row>
    <row r="207" spans="2:26" x14ac:dyDescent="0.2">
      <c r="I207" s="151"/>
      <c r="U207" s="28"/>
      <c r="W207" s="28"/>
      <c r="X207" s="28"/>
      <c r="Y207" s="28"/>
      <c r="Z207" s="28"/>
    </row>
    <row r="208" spans="2:26" x14ac:dyDescent="0.2">
      <c r="B208" s="20" t="s">
        <v>254</v>
      </c>
      <c r="I208" s="151"/>
      <c r="K208" s="20" t="s">
        <v>254</v>
      </c>
      <c r="U208" s="28"/>
      <c r="W208" s="28"/>
      <c r="X208" s="28"/>
      <c r="Y208" s="28"/>
      <c r="Z208" s="28"/>
    </row>
    <row r="209" spans="2:26" x14ac:dyDescent="0.2">
      <c r="B209" s="20" t="s">
        <v>238</v>
      </c>
      <c r="C209" s="89">
        <f>C20+C41+C62+C83+C104+C125+C146+C167</f>
        <v>28887967</v>
      </c>
      <c r="D209" s="89"/>
      <c r="E209" s="89">
        <f>E20+E41+E62+E83+E104+E125+E146+E167</f>
        <v>24542273</v>
      </c>
      <c r="G209" s="89"/>
      <c r="H209" s="89"/>
      <c r="I209" s="152"/>
      <c r="K209" s="20" t="s">
        <v>238</v>
      </c>
      <c r="L209" s="89">
        <f>L20+L41+L62+L83+L104+L125+L146+L167</f>
        <v>80225032</v>
      </c>
      <c r="M209" s="83"/>
      <c r="N209" s="89">
        <f>N20+N41+N62+N83+N104+N125+N146+N167</f>
        <v>73394554</v>
      </c>
      <c r="P209" s="83"/>
      <c r="Q209" s="89"/>
      <c r="U209" s="28"/>
      <c r="W209" s="28"/>
      <c r="X209" s="28"/>
      <c r="Y209" s="28"/>
      <c r="Z209" s="28"/>
    </row>
    <row r="210" spans="2:26" x14ac:dyDescent="0.2">
      <c r="B210" s="20" t="s">
        <v>237</v>
      </c>
      <c r="C210" s="89">
        <f>C21+C42+C63+C84+C105+C126+C147+C168</f>
        <v>6495790</v>
      </c>
      <c r="D210" s="89"/>
      <c r="E210" s="89">
        <f>E21+E42+E63+E84+E105+E126+E147+E168</f>
        <v>4852560</v>
      </c>
      <c r="G210" s="89"/>
      <c r="H210" s="89"/>
      <c r="I210" s="152"/>
      <c r="K210" s="20" t="s">
        <v>255</v>
      </c>
      <c r="L210" s="89">
        <f>L21+L42+L63+L84+L105+L126+L147+L168</f>
        <v>20915877</v>
      </c>
      <c r="M210" s="83"/>
      <c r="N210" s="89">
        <f>N21+N42+N63+N84+N105+N126+N147+N168</f>
        <v>15737445</v>
      </c>
      <c r="P210" s="83"/>
      <c r="Q210" s="89"/>
      <c r="U210" s="28"/>
      <c r="W210" s="28"/>
      <c r="X210" s="28"/>
      <c r="Y210" s="28"/>
      <c r="Z210" s="28"/>
    </row>
    <row r="211" spans="2:26" x14ac:dyDescent="0.2">
      <c r="C211" s="89"/>
      <c r="D211" s="89"/>
      <c r="E211" s="89"/>
      <c r="G211" s="173"/>
      <c r="H211" s="89"/>
      <c r="I211" s="152"/>
      <c r="L211" s="89"/>
      <c r="M211" s="89"/>
      <c r="N211" s="89"/>
      <c r="P211" s="173"/>
      <c r="Q211" s="89"/>
      <c r="U211" s="28"/>
      <c r="W211" s="28"/>
      <c r="X211" s="28"/>
      <c r="Y211" s="28"/>
      <c r="Z211" s="28"/>
    </row>
    <row r="212" spans="2:26" s="58" customFormat="1" x14ac:dyDescent="0.2">
      <c r="C212" s="148">
        <f>C209-'Aramex Courier'!T19</f>
        <v>0</v>
      </c>
      <c r="E212" s="148">
        <f>E209-'Aramex Courier'!O19</f>
        <v>0</v>
      </c>
      <c r="F212" s="20"/>
      <c r="G212" s="174"/>
      <c r="I212" s="155"/>
      <c r="L212" s="148">
        <f>L209-'Aramex Courier'!R19-'Aramex Courier'!S19-'Aramex Courier'!T19</f>
        <v>0</v>
      </c>
      <c r="N212" s="148">
        <f>N209-'Aramex Courier'!M19-'Aramex Courier'!N19-'Aramex Courier'!O19</f>
        <v>-1</v>
      </c>
      <c r="P212" s="174"/>
      <c r="U212" s="28"/>
      <c r="V212" s="209"/>
      <c r="W212" s="28"/>
      <c r="X212" s="28"/>
      <c r="Y212" s="28"/>
      <c r="Z212" s="28"/>
    </row>
    <row r="213" spans="2:26" s="58" customFormat="1" x14ac:dyDescent="0.2">
      <c r="C213" s="148">
        <f>C210-'Aramex Courier'!T20</f>
        <v>0</v>
      </c>
      <c r="E213" s="148">
        <f>E210-'Aramex Courier'!O20</f>
        <v>0</v>
      </c>
      <c r="G213" s="174"/>
      <c r="L213" s="148">
        <f>L210-'Aramex Courier'!R20-'Aramex Courier'!S20-'Aramex Courier'!T20</f>
        <v>0</v>
      </c>
      <c r="N213" s="148">
        <f>N210-'Aramex Courier'!M20-'Aramex Courier'!N20-'Aramex Courier'!O20</f>
        <v>1</v>
      </c>
      <c r="P213" s="174"/>
      <c r="U213" s="28"/>
      <c r="V213" s="209"/>
      <c r="W213" s="28"/>
      <c r="X213" s="28"/>
      <c r="Y213" s="28"/>
      <c r="Z213" s="28"/>
    </row>
    <row r="214" spans="2:26" s="58" customFormat="1" x14ac:dyDescent="0.2">
      <c r="C214" s="148"/>
      <c r="E214" s="148"/>
      <c r="G214" s="174"/>
      <c r="L214" s="148"/>
      <c r="N214" s="148"/>
      <c r="P214" s="174"/>
      <c r="U214" s="28"/>
      <c r="V214" s="209"/>
      <c r="W214" s="28"/>
      <c r="X214" s="28"/>
      <c r="Y214" s="28"/>
      <c r="Z214" s="28"/>
    </row>
    <row r="215" spans="2:26" s="58" customFormat="1" x14ac:dyDescent="0.2">
      <c r="C215" s="174"/>
      <c r="E215" s="174"/>
      <c r="G215" s="174"/>
      <c r="N215" s="174"/>
      <c r="P215" s="174"/>
      <c r="U215" s="28"/>
      <c r="V215" s="209"/>
      <c r="W215" s="28"/>
      <c r="X215" s="28"/>
      <c r="Y215" s="28"/>
      <c r="Z215" s="28"/>
    </row>
    <row r="216" spans="2:26" s="58" customFormat="1" x14ac:dyDescent="0.2">
      <c r="E216" s="174"/>
      <c r="G216" s="174"/>
      <c r="N216" s="174"/>
      <c r="P216" s="174"/>
      <c r="U216" s="28"/>
      <c r="V216" s="209"/>
      <c r="W216" s="28"/>
      <c r="X216" s="28"/>
      <c r="Y216" s="28"/>
      <c r="Z216" s="28"/>
    </row>
    <row r="217" spans="2:26" s="58" customFormat="1" x14ac:dyDescent="0.2">
      <c r="C217" s="174"/>
      <c r="G217" s="174"/>
      <c r="L217" s="174"/>
      <c r="P217" s="174"/>
      <c r="U217" s="28"/>
      <c r="V217" s="209"/>
      <c r="W217" s="28"/>
      <c r="X217" s="28"/>
      <c r="Y217" s="28"/>
      <c r="Z217" s="28"/>
    </row>
    <row r="218" spans="2:26" s="58" customFormat="1" x14ac:dyDescent="0.2">
      <c r="G218" s="174"/>
      <c r="P218" s="174"/>
      <c r="U218" s="28"/>
      <c r="V218" s="209"/>
      <c r="W218" s="28"/>
      <c r="X218" s="28"/>
      <c r="Y218" s="28"/>
      <c r="Z218" s="28"/>
    </row>
    <row r="219" spans="2:26" s="58" customFormat="1" x14ac:dyDescent="0.2">
      <c r="G219" s="174"/>
      <c r="P219" s="174"/>
      <c r="U219" s="28"/>
      <c r="V219" s="209"/>
      <c r="W219" s="28"/>
      <c r="X219" s="28"/>
      <c r="Y219" s="28"/>
      <c r="Z219" s="28"/>
    </row>
    <row r="220" spans="2:26" s="58" customFormat="1" x14ac:dyDescent="0.2">
      <c r="G220" s="174"/>
      <c r="P220" s="174"/>
      <c r="U220" s="28"/>
      <c r="V220" s="209"/>
      <c r="W220" s="28"/>
      <c r="X220" s="28"/>
      <c r="Y220" s="28"/>
      <c r="Z220" s="28"/>
    </row>
    <row r="221" spans="2:26" s="58" customFormat="1" x14ac:dyDescent="0.2">
      <c r="C221" s="149"/>
      <c r="G221" s="174"/>
      <c r="L221" s="149"/>
      <c r="P221" s="174"/>
      <c r="U221" s="28"/>
      <c r="V221" s="209"/>
      <c r="W221" s="28"/>
      <c r="X221" s="28"/>
      <c r="Y221" s="28"/>
      <c r="Z221" s="28"/>
    </row>
    <row r="222" spans="2:26" s="58" customFormat="1" x14ac:dyDescent="0.2">
      <c r="C222" s="149"/>
      <c r="D222" s="174"/>
      <c r="E222" s="174"/>
      <c r="F222" s="174"/>
      <c r="G222" s="174"/>
      <c r="H222" s="174"/>
      <c r="I222" s="174"/>
      <c r="J222" s="174"/>
      <c r="K222" s="174"/>
      <c r="L222" s="149"/>
      <c r="N222" s="174"/>
      <c r="O222" s="148"/>
      <c r="P222" s="174"/>
      <c r="U222" s="28"/>
      <c r="V222" s="209"/>
      <c r="W222" s="28"/>
      <c r="X222" s="28"/>
      <c r="Y222" s="28"/>
      <c r="Z222" s="28"/>
    </row>
    <row r="223" spans="2:26" x14ac:dyDescent="0.2">
      <c r="B223" s="150" t="s">
        <v>256</v>
      </c>
      <c r="C223" s="216"/>
      <c r="K223" s="150" t="s">
        <v>256</v>
      </c>
      <c r="L223" s="216"/>
      <c r="M223" s="58"/>
      <c r="U223" s="28"/>
      <c r="W223" s="28"/>
      <c r="X223" s="28"/>
      <c r="Y223" s="28"/>
      <c r="Z223" s="28"/>
    </row>
    <row r="224" spans="2:26" x14ac:dyDescent="0.2">
      <c r="B224" s="217" t="s">
        <v>351</v>
      </c>
      <c r="C224" s="218">
        <f>E209</f>
        <v>24542273</v>
      </c>
      <c r="D224" s="211">
        <f>C224/1000000</f>
        <v>24.542273000000002</v>
      </c>
      <c r="K224" s="217" t="s">
        <v>347</v>
      </c>
      <c r="L224" s="218">
        <f>N209</f>
        <v>73394554</v>
      </c>
      <c r="M224" s="211">
        <f>L224/1000000</f>
        <v>73.394553999999999</v>
      </c>
      <c r="U224" s="28"/>
      <c r="W224" s="28"/>
      <c r="X224" s="28"/>
      <c r="Y224" s="28"/>
      <c r="Z224" s="28"/>
    </row>
    <row r="225" spans="2:26" x14ac:dyDescent="0.2">
      <c r="B225" s="135" t="s">
        <v>232</v>
      </c>
      <c r="C225" s="57">
        <f>G20</f>
        <v>322570</v>
      </c>
      <c r="D225" s="211">
        <f t="shared" ref="D225:D233" si="89">C225/1000000</f>
        <v>0.32257000000000002</v>
      </c>
      <c r="K225" s="135" t="s">
        <v>232</v>
      </c>
      <c r="L225" s="57">
        <f>P20</f>
        <v>555620</v>
      </c>
      <c r="M225" s="211">
        <f t="shared" ref="M225:M233" si="90">L225/1000000</f>
        <v>0.55562</v>
      </c>
      <c r="U225" s="28"/>
      <c r="W225" s="28"/>
      <c r="X225" s="28"/>
      <c r="Y225" s="28"/>
      <c r="Z225" s="28"/>
    </row>
    <row r="226" spans="2:26" x14ac:dyDescent="0.2">
      <c r="B226" s="135" t="s">
        <v>244</v>
      </c>
      <c r="C226" s="57">
        <f>G41</f>
        <v>1596829</v>
      </c>
      <c r="D226" s="211">
        <f t="shared" si="89"/>
        <v>1.5968290000000001</v>
      </c>
      <c r="K226" s="135" t="s">
        <v>244</v>
      </c>
      <c r="L226" s="57">
        <f>P41</f>
        <v>1304844</v>
      </c>
      <c r="M226" s="211">
        <f t="shared" si="90"/>
        <v>1.3048439999999999</v>
      </c>
      <c r="U226" s="28"/>
      <c r="W226" s="28"/>
      <c r="X226" s="28"/>
      <c r="Y226" s="28"/>
      <c r="Z226" s="28"/>
    </row>
    <row r="227" spans="2:26" x14ac:dyDescent="0.2">
      <c r="B227" s="135" t="s">
        <v>245</v>
      </c>
      <c r="C227" s="57">
        <f>G62</f>
        <v>-56816</v>
      </c>
      <c r="D227" s="211">
        <f t="shared" si="89"/>
        <v>-5.6815999999999998E-2</v>
      </c>
      <c r="K227" s="135" t="s">
        <v>245</v>
      </c>
      <c r="L227" s="57">
        <f>P62</f>
        <v>-358422</v>
      </c>
      <c r="M227" s="211">
        <f t="shared" si="90"/>
        <v>-0.35842200000000002</v>
      </c>
      <c r="U227" s="28"/>
      <c r="W227" s="28"/>
      <c r="X227" s="28"/>
      <c r="Y227" s="28"/>
      <c r="Z227" s="28"/>
    </row>
    <row r="228" spans="2:26" x14ac:dyDescent="0.2">
      <c r="B228" s="135" t="s">
        <v>246</v>
      </c>
      <c r="C228" s="57">
        <f>G83</f>
        <v>-103</v>
      </c>
      <c r="D228" s="211">
        <f t="shared" si="89"/>
        <v>-1.03E-4</v>
      </c>
      <c r="K228" s="135" t="s">
        <v>246</v>
      </c>
      <c r="L228" s="57">
        <f>P83</f>
        <v>-7712</v>
      </c>
      <c r="M228" s="211">
        <f t="shared" si="90"/>
        <v>-7.7120000000000001E-3</v>
      </c>
      <c r="U228" s="28"/>
      <c r="W228" s="28"/>
      <c r="X228" s="28"/>
      <c r="Y228" s="28"/>
      <c r="Z228" s="28"/>
    </row>
    <row r="229" spans="2:26" x14ac:dyDescent="0.2">
      <c r="B229" s="135" t="s">
        <v>247</v>
      </c>
      <c r="C229" s="57">
        <f>G104</f>
        <v>9883</v>
      </c>
      <c r="D229" s="211">
        <f t="shared" si="89"/>
        <v>9.8829999999999994E-3</v>
      </c>
      <c r="K229" s="135" t="s">
        <v>247</v>
      </c>
      <c r="L229" s="57">
        <f>P104</f>
        <v>42947</v>
      </c>
      <c r="M229" s="211">
        <f t="shared" si="90"/>
        <v>4.2946999999999999E-2</v>
      </c>
      <c r="U229" s="28"/>
      <c r="W229" s="28"/>
      <c r="X229" s="28"/>
      <c r="Y229" s="28"/>
      <c r="Z229" s="28"/>
    </row>
    <row r="230" spans="2:26" x14ac:dyDescent="0.2">
      <c r="B230" s="135" t="s">
        <v>249</v>
      </c>
      <c r="C230" s="57">
        <f>G125</f>
        <v>51</v>
      </c>
      <c r="D230" s="211">
        <f t="shared" si="89"/>
        <v>5.1E-5</v>
      </c>
      <c r="K230" s="135" t="s">
        <v>249</v>
      </c>
      <c r="L230" s="57">
        <f>P125</f>
        <v>-107</v>
      </c>
      <c r="M230" s="211">
        <f t="shared" si="90"/>
        <v>-1.07E-4</v>
      </c>
      <c r="U230" s="28"/>
      <c r="W230" s="28"/>
      <c r="X230" s="28"/>
      <c r="Y230" s="28"/>
      <c r="Z230" s="28"/>
    </row>
    <row r="231" spans="2:26" x14ac:dyDescent="0.2">
      <c r="B231" s="135" t="s">
        <v>250</v>
      </c>
      <c r="C231" s="57">
        <f>G146</f>
        <v>-34928</v>
      </c>
      <c r="D231" s="211">
        <f t="shared" si="89"/>
        <v>-3.4928000000000001E-2</v>
      </c>
      <c r="K231" s="135" t="s">
        <v>250</v>
      </c>
      <c r="L231" s="57">
        <f>P146</f>
        <v>-57242</v>
      </c>
      <c r="M231" s="211">
        <f t="shared" si="90"/>
        <v>-5.7242000000000001E-2</v>
      </c>
    </row>
    <row r="232" spans="2:26" x14ac:dyDescent="0.2">
      <c r="B232" s="135" t="s">
        <v>251</v>
      </c>
      <c r="C232" s="57">
        <f>G167</f>
        <v>2508208</v>
      </c>
      <c r="D232" s="211">
        <f t="shared" si="89"/>
        <v>2.5082080000000002</v>
      </c>
      <c r="K232" s="135" t="s">
        <v>251</v>
      </c>
      <c r="L232" s="57">
        <f>P167</f>
        <v>5350550</v>
      </c>
      <c r="M232" s="211">
        <f t="shared" si="90"/>
        <v>5.3505500000000001</v>
      </c>
    </row>
    <row r="233" spans="2:26" ht="13.5" thickBot="1" x14ac:dyDescent="0.25">
      <c r="B233" s="219" t="s">
        <v>352</v>
      </c>
      <c r="C233" s="220">
        <f>SUM(C224:C232)</f>
        <v>28887967</v>
      </c>
      <c r="D233" s="211">
        <f t="shared" si="89"/>
        <v>28.887967</v>
      </c>
      <c r="K233" s="219" t="s">
        <v>348</v>
      </c>
      <c r="L233" s="220">
        <f>SUM(L224:L232)</f>
        <v>80225032</v>
      </c>
      <c r="M233" s="211">
        <f t="shared" si="90"/>
        <v>80.225031999999999</v>
      </c>
    </row>
    <row r="234" spans="2:26" ht="13.5" thickTop="1" x14ac:dyDescent="0.2">
      <c r="B234" s="71"/>
      <c r="C234" s="147">
        <f>C233-C209</f>
        <v>0</v>
      </c>
      <c r="L234" s="147">
        <f>L233-L209</f>
        <v>0</v>
      </c>
    </row>
    <row r="237" spans="2:26" x14ac:dyDescent="0.2">
      <c r="B237" s="150" t="s">
        <v>257</v>
      </c>
      <c r="C237" s="216"/>
      <c r="K237" s="150" t="s">
        <v>257</v>
      </c>
      <c r="L237" s="216"/>
    </row>
    <row r="238" spans="2:26" x14ac:dyDescent="0.2">
      <c r="B238" s="217" t="str">
        <f>B224</f>
        <v>Q3'2023</v>
      </c>
      <c r="C238" s="218">
        <f>E210</f>
        <v>4852560</v>
      </c>
      <c r="D238" s="211">
        <f>C238/1000000</f>
        <v>4.8525600000000004</v>
      </c>
      <c r="K238" s="217" t="str">
        <f>K224</f>
        <v>Sep'23 YTD</v>
      </c>
      <c r="L238" s="218">
        <f>N210</f>
        <v>15737445</v>
      </c>
      <c r="M238" s="211">
        <f>L238/1000000</f>
        <v>15.737444999999999</v>
      </c>
    </row>
    <row r="239" spans="2:26" x14ac:dyDescent="0.2">
      <c r="B239" s="135" t="s">
        <v>232</v>
      </c>
      <c r="C239" s="57">
        <f>G21</f>
        <v>633611</v>
      </c>
      <c r="D239" s="211">
        <f t="shared" ref="D239:D247" si="91">C239/1000000</f>
        <v>0.63361100000000004</v>
      </c>
      <c r="K239" s="135" t="s">
        <v>232</v>
      </c>
      <c r="L239" s="57">
        <f>P21</f>
        <v>4795454</v>
      </c>
      <c r="M239" s="211">
        <f t="shared" ref="M239:M247" si="92">L239/1000000</f>
        <v>4.7954540000000003</v>
      </c>
    </row>
    <row r="240" spans="2:26" x14ac:dyDescent="0.2">
      <c r="B240" s="135" t="s">
        <v>244</v>
      </c>
      <c r="C240" s="57">
        <f>G42</f>
        <v>812992</v>
      </c>
      <c r="D240" s="211">
        <f t="shared" si="91"/>
        <v>0.81299200000000005</v>
      </c>
      <c r="K240" s="135" t="s">
        <v>244</v>
      </c>
      <c r="L240" s="57">
        <f>P42</f>
        <v>1520822</v>
      </c>
      <c r="M240" s="211">
        <f t="shared" si="92"/>
        <v>1.5208219999999999</v>
      </c>
    </row>
    <row r="241" spans="2:13" x14ac:dyDescent="0.2">
      <c r="B241" s="135" t="s">
        <v>245</v>
      </c>
      <c r="C241" s="57">
        <f>G63</f>
        <v>-16337</v>
      </c>
      <c r="D241" s="211">
        <f t="shared" si="91"/>
        <v>-1.6337000000000001E-2</v>
      </c>
      <c r="K241" s="135" t="s">
        <v>245</v>
      </c>
      <c r="L241" s="57">
        <f>P63</f>
        <v>-42798</v>
      </c>
      <c r="M241" s="211">
        <f t="shared" si="92"/>
        <v>-4.2798000000000003E-2</v>
      </c>
    </row>
    <row r="242" spans="2:13" x14ac:dyDescent="0.2">
      <c r="B242" s="135" t="s">
        <v>246</v>
      </c>
      <c r="C242" s="57">
        <f>G84</f>
        <v>132002</v>
      </c>
      <c r="D242" s="211">
        <f t="shared" si="91"/>
        <v>0.13200200000000001</v>
      </c>
      <c r="K242" s="135" t="s">
        <v>246</v>
      </c>
      <c r="L242" s="57">
        <f>P84</f>
        <v>-1318974</v>
      </c>
      <c r="M242" s="211">
        <f t="shared" si="92"/>
        <v>-1.3189740000000001</v>
      </c>
    </row>
    <row r="243" spans="2:13" x14ac:dyDescent="0.2">
      <c r="B243" s="135" t="s">
        <v>247</v>
      </c>
      <c r="C243" s="57">
        <f>G105</f>
        <v>84860</v>
      </c>
      <c r="D243" s="211">
        <f t="shared" si="91"/>
        <v>8.4860000000000005E-2</v>
      </c>
      <c r="K243" s="135" t="s">
        <v>247</v>
      </c>
      <c r="L243" s="57">
        <f>P105</f>
        <v>212129</v>
      </c>
      <c r="M243" s="211">
        <f t="shared" si="92"/>
        <v>0.21212900000000001</v>
      </c>
    </row>
    <row r="244" spans="2:13" x14ac:dyDescent="0.2">
      <c r="B244" s="135" t="s">
        <v>249</v>
      </c>
      <c r="C244" s="57">
        <f>G126</f>
        <v>26011</v>
      </c>
      <c r="D244" s="211">
        <f t="shared" si="91"/>
        <v>2.6010999999999999E-2</v>
      </c>
      <c r="K244" s="135" t="s">
        <v>249</v>
      </c>
      <c r="L244" s="57">
        <f>P126</f>
        <v>-37956</v>
      </c>
      <c r="M244" s="211">
        <f t="shared" si="92"/>
        <v>-3.7955999999999997E-2</v>
      </c>
    </row>
    <row r="245" spans="2:13" x14ac:dyDescent="0.2">
      <c r="B245" s="135" t="s">
        <v>250</v>
      </c>
      <c r="C245" s="57">
        <f>G147</f>
        <v>-29209</v>
      </c>
      <c r="D245" s="211">
        <f t="shared" si="91"/>
        <v>-2.9208999999999999E-2</v>
      </c>
      <c r="K245" s="135" t="s">
        <v>250</v>
      </c>
      <c r="L245" s="57">
        <f>P147</f>
        <v>52555</v>
      </c>
      <c r="M245" s="211">
        <f t="shared" si="92"/>
        <v>5.2554999999999998E-2</v>
      </c>
    </row>
    <row r="246" spans="2:13" x14ac:dyDescent="0.2">
      <c r="B246" s="135" t="s">
        <v>251</v>
      </c>
      <c r="C246" s="57">
        <f>G168</f>
        <v>-700</v>
      </c>
      <c r="D246" s="211">
        <f t="shared" si="91"/>
        <v>-6.9999999999999999E-4</v>
      </c>
      <c r="K246" s="135" t="s">
        <v>251</v>
      </c>
      <c r="L246" s="57">
        <f>P168</f>
        <v>-2800</v>
      </c>
      <c r="M246" s="211">
        <f t="shared" si="92"/>
        <v>-2.8E-3</v>
      </c>
    </row>
    <row r="247" spans="2:13" ht="13.5" thickBot="1" x14ac:dyDescent="0.25">
      <c r="B247" s="219" t="str">
        <f>B233</f>
        <v>Q3'2024</v>
      </c>
      <c r="C247" s="220">
        <f>SUM(C238:C246)</f>
        <v>6495790</v>
      </c>
      <c r="D247" s="211">
        <f t="shared" si="91"/>
        <v>6.4957900000000004</v>
      </c>
      <c r="K247" s="219" t="str">
        <f>K233</f>
        <v>Sep'24 YTD</v>
      </c>
      <c r="L247" s="220">
        <f>SUM(L238:L246)</f>
        <v>20915877</v>
      </c>
      <c r="M247" s="211">
        <f t="shared" si="92"/>
        <v>20.915876999999998</v>
      </c>
    </row>
    <row r="248" spans="2:13" ht="13.5" thickTop="1" x14ac:dyDescent="0.2">
      <c r="C248" s="147">
        <f>C247-C210</f>
        <v>0</v>
      </c>
      <c r="L248" s="147">
        <f>L247-L210</f>
        <v>0</v>
      </c>
    </row>
    <row r="254" spans="2:13" x14ac:dyDescent="0.2">
      <c r="B254" s="150" t="s">
        <v>258</v>
      </c>
      <c r="C254" s="150"/>
      <c r="L254" s="150"/>
    </row>
    <row r="255" spans="2:13" x14ac:dyDescent="0.2">
      <c r="B255" s="217" t="str">
        <f>B224</f>
        <v>Q3'2023</v>
      </c>
      <c r="C255" s="218">
        <f>E201/1000</f>
        <v>367.49926424653677</v>
      </c>
      <c r="L255" s="218">
        <f>N201/1000</f>
        <v>1135.4390246981516</v>
      </c>
    </row>
    <row r="256" spans="2:13" x14ac:dyDescent="0.2">
      <c r="B256" s="135" t="s">
        <v>232</v>
      </c>
      <c r="C256" s="57">
        <f>G14/1000</f>
        <v>15.071459701981381</v>
      </c>
      <c r="L256" s="57">
        <f>P14/1000</f>
        <v>65.238585574497066</v>
      </c>
    </row>
    <row r="257" spans="2:12" x14ac:dyDescent="0.2">
      <c r="B257" s="135" t="s">
        <v>244</v>
      </c>
      <c r="C257" s="57">
        <f>G36/1000</f>
        <v>31.338503564252083</v>
      </c>
      <c r="L257" s="57">
        <f>P36/1000</f>
        <v>50.021662505501006</v>
      </c>
    </row>
    <row r="258" spans="2:12" x14ac:dyDescent="0.2">
      <c r="B258" s="135" t="s">
        <v>245</v>
      </c>
      <c r="C258" s="57">
        <f>G57/1000</f>
        <v>2.1321527164267753</v>
      </c>
      <c r="L258" s="57">
        <f>P57/1000</f>
        <v>-3.9310809453871625</v>
      </c>
    </row>
    <row r="259" spans="2:12" x14ac:dyDescent="0.2">
      <c r="B259" s="135" t="s">
        <v>246</v>
      </c>
      <c r="C259" s="57">
        <f>G78/1000</f>
        <v>-0.89146152449761573</v>
      </c>
      <c r="L259" s="57">
        <f>P78/1000</f>
        <v>-17.355551101225778</v>
      </c>
    </row>
    <row r="260" spans="2:12" x14ac:dyDescent="0.2">
      <c r="B260" s="135" t="s">
        <v>247</v>
      </c>
      <c r="C260" s="57">
        <f>G99/1000</f>
        <v>-2.6618631645391724</v>
      </c>
      <c r="L260" s="57">
        <f>P99/1000</f>
        <v>-11.001954279308716</v>
      </c>
    </row>
    <row r="261" spans="2:12" x14ac:dyDescent="0.2">
      <c r="B261" s="135" t="s">
        <v>249</v>
      </c>
      <c r="C261" s="57">
        <f>G120/1000</f>
        <v>-0.2592308346153841</v>
      </c>
      <c r="L261" s="57">
        <f>P120/1000</f>
        <v>-2.5474510392428638</v>
      </c>
    </row>
    <row r="262" spans="2:12" x14ac:dyDescent="0.2">
      <c r="B262" s="135" t="s">
        <v>250</v>
      </c>
      <c r="C262" s="57">
        <f>G141/1000</f>
        <v>1.1660140997659254</v>
      </c>
      <c r="L262" s="57">
        <f>P141/1000</f>
        <v>4.5467167035708549</v>
      </c>
    </row>
    <row r="263" spans="2:12" x14ac:dyDescent="0.2">
      <c r="B263" s="135" t="s">
        <v>251</v>
      </c>
      <c r="C263" s="57">
        <f>G162/1000</f>
        <v>20.746259313122057</v>
      </c>
      <c r="L263" s="57">
        <f>P162/1000</f>
        <v>42.688580474363512</v>
      </c>
    </row>
    <row r="264" spans="2:12" x14ac:dyDescent="0.2">
      <c r="B264" s="135" t="s">
        <v>259</v>
      </c>
      <c r="C264" s="57">
        <f>G183/1000</f>
        <v>-0.56377054742211608</v>
      </c>
      <c r="L264" s="57">
        <f>P183/1000</f>
        <v>-2.5987592540604338</v>
      </c>
    </row>
    <row r="265" spans="2:12" ht="13.5" thickBot="1" x14ac:dyDescent="0.25">
      <c r="B265" s="219" t="str">
        <f>B233</f>
        <v>Q3'2024</v>
      </c>
      <c r="C265" s="220">
        <f>SUM(C255:C264)</f>
        <v>433.5773275710107</v>
      </c>
      <c r="L265" s="220">
        <f>SUM(L255:L264)</f>
        <v>1260.4997733368593</v>
      </c>
    </row>
    <row r="266" spans="2:12" ht="13.5" thickTop="1" x14ac:dyDescent="0.2">
      <c r="C266" s="20">
        <f>C265-C201/1000</f>
        <v>0</v>
      </c>
      <c r="L266" s="20">
        <f>L265-L201/1000</f>
        <v>0</v>
      </c>
    </row>
  </sheetData>
  <pageMargins left="0.7" right="0.7" top="0.75" bottom="0.75" header="0.3" footer="0.3"/>
  <pageSetup paperSize="9" orientation="portrait" r:id="rId1"/>
  <ignoredErrors>
    <ignoredError sqref="M14 D14 D195:D203 M195:M204 E203 D78 D99 D120 D141 D162" formula="1"/>
    <ignoredError sqref="F21 F42:J42 H21:J21" formulaRange="1"/>
    <ignoredError sqref="Q94:Q96 O104:P104 F104:G104 F94:H94 F97:H99 F95:H95 H158:H159 Q158:Q159 F100:H101 H179 F96:G9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178"/>
  <sheetViews>
    <sheetView showGridLines="0" workbookViewId="0">
      <pane xSplit="2" ySplit="6" topLeftCell="C169" activePane="bottomRight" state="frozen"/>
      <selection pane="topRight" activeCell="B7" sqref="B7"/>
      <selection pane="bottomLeft" activeCell="B7" sqref="B7"/>
      <selection pane="bottomRight" activeCell="K174" sqref="K174"/>
    </sheetView>
  </sheetViews>
  <sheetFormatPr defaultColWidth="9.140625" defaultRowHeight="12.75" x14ac:dyDescent="0.2"/>
  <cols>
    <col min="1" max="1" width="3.42578125" style="20" customWidth="1"/>
    <col min="2" max="2" width="13.7109375" style="20" customWidth="1"/>
    <col min="3" max="3" width="15.140625" style="20" customWidth="1"/>
    <col min="4" max="4" width="22.140625" style="20" bestFit="1" customWidth="1"/>
    <col min="5" max="9" width="15.140625" style="20" customWidth="1"/>
    <col min="10" max="10" width="9.140625" style="20"/>
    <col min="11" max="11" width="13.85546875" style="20" customWidth="1"/>
    <col min="12" max="16" width="13.5703125" style="20" customWidth="1"/>
    <col min="17" max="17" width="9.140625" style="20"/>
    <col min="18" max="18" width="9.42578125" style="20" bestFit="1" customWidth="1"/>
    <col min="19" max="16384" width="9.140625" style="20"/>
  </cols>
  <sheetData>
    <row r="1" spans="1:16" x14ac:dyDescent="0.2">
      <c r="A1" s="162">
        <f>'2024 IR Data Book'!$A$5</f>
        <v>0.27228666339922669</v>
      </c>
    </row>
    <row r="2" spans="1:16" ht="15" x14ac:dyDescent="0.25">
      <c r="C2" s="118" t="s">
        <v>260</v>
      </c>
      <c r="D2" s="118"/>
      <c r="E2" s="118"/>
    </row>
    <row r="3" spans="1:16" ht="15" x14ac:dyDescent="0.25">
      <c r="C3" s="118"/>
      <c r="D3" s="118"/>
      <c r="E3" s="118"/>
    </row>
    <row r="4" spans="1:16" x14ac:dyDescent="0.2">
      <c r="B4" s="119"/>
    </row>
    <row r="5" spans="1:16" x14ac:dyDescent="0.2">
      <c r="B5" s="120"/>
      <c r="C5" s="270" t="s">
        <v>22</v>
      </c>
      <c r="D5" s="270"/>
      <c r="E5" s="270"/>
      <c r="F5" s="270"/>
      <c r="G5" s="270"/>
      <c r="H5" s="270"/>
      <c r="I5" s="270"/>
      <c r="K5" s="120"/>
      <c r="L5" s="270" t="s">
        <v>261</v>
      </c>
      <c r="M5" s="270"/>
      <c r="N5" s="270"/>
      <c r="O5" s="270"/>
      <c r="P5" s="270"/>
    </row>
    <row r="6" spans="1:16" x14ac:dyDescent="0.2">
      <c r="B6" s="120"/>
      <c r="C6" s="132" t="s">
        <v>262</v>
      </c>
      <c r="D6" s="132" t="s">
        <v>263</v>
      </c>
      <c r="E6" s="132" t="s">
        <v>238</v>
      </c>
      <c r="F6" s="132" t="s">
        <v>264</v>
      </c>
      <c r="G6" s="132" t="s">
        <v>265</v>
      </c>
      <c r="H6" s="132" t="s">
        <v>266</v>
      </c>
      <c r="I6" s="132" t="s">
        <v>253</v>
      </c>
      <c r="K6" s="120"/>
      <c r="L6" s="132" t="s">
        <v>262</v>
      </c>
      <c r="M6" s="132" t="s">
        <v>264</v>
      </c>
      <c r="N6" s="132" t="s">
        <v>265</v>
      </c>
      <c r="O6" s="132" t="s">
        <v>266</v>
      </c>
      <c r="P6" s="132" t="s">
        <v>253</v>
      </c>
    </row>
    <row r="7" spans="1:16" x14ac:dyDescent="0.2">
      <c r="B7" s="59" t="s">
        <v>267</v>
      </c>
      <c r="C7" s="121">
        <f>'Aramex Courier'!C7</f>
        <v>272869.99621117738</v>
      </c>
      <c r="D7" s="121">
        <f>'Aramex Express+Parcel Forwardin'!C7</f>
        <v>176039.99451586505</v>
      </c>
      <c r="E7" s="121">
        <f>'Aramex Domestic'!C7</f>
        <v>96830.001696152583</v>
      </c>
      <c r="F7" s="121">
        <f>'Aramex Freight'!C7</f>
        <v>78494.956145721284</v>
      </c>
      <c r="G7" s="121">
        <f>'Aramex Logistics'!C7</f>
        <v>28477.302607920814</v>
      </c>
      <c r="H7" s="121">
        <f>29924.5277420579*('2024 IR Data Book'!$A$5)</f>
        <v>8148.0498126825405</v>
      </c>
      <c r="I7" s="121">
        <f>C7+F7+G7+H7</f>
        <v>387990.30477750208</v>
      </c>
      <c r="J7" s="89">
        <f t="shared" ref="J7:J9" si="0">C7-D7-E7</f>
        <v>-8.4025668911635876E-7</v>
      </c>
      <c r="K7" s="59" t="s">
        <v>267</v>
      </c>
      <c r="L7" s="121">
        <f>768414.063708547*('2024 IR Data Book'!$A$5)</f>
        <v>209228.90151624108</v>
      </c>
      <c r="M7" s="121">
        <f>262436.900433545*('2024 IR Data Book'!$A$5)</f>
        <v>71458.067971885044</v>
      </c>
      <c r="N7" s="121">
        <f>95044.3885739144*('2024 IR Data Book'!$A$5)</f>
        <v>25879.319439610739</v>
      </c>
      <c r="O7" s="121">
        <f>25748.7833390512*('2024 IR Data Book'!$A$5)</f>
        <v>7011.0503019798498</v>
      </c>
      <c r="P7" s="121">
        <f>SUM(L7:O7)</f>
        <v>313577.33922971674</v>
      </c>
    </row>
    <row r="8" spans="1:16" x14ac:dyDescent="0.2">
      <c r="B8" s="60" t="s">
        <v>206</v>
      </c>
      <c r="C8" s="122">
        <f>'Aramex Courier'!C10</f>
        <v>77632.834008042817</v>
      </c>
      <c r="D8" s="122">
        <f>'Aramex Express+Parcel Forwardin'!C10</f>
        <v>55110.830541414529</v>
      </c>
      <c r="E8" s="122">
        <f>'Aramex Domestic'!C9</f>
        <v>22522.003455075421</v>
      </c>
      <c r="F8" s="122">
        <f>'Aramex Freight'!C9</f>
        <v>10029.123907422269</v>
      </c>
      <c r="G8" s="122">
        <f>'Aramex Logistics'!C9</f>
        <v>4909.8155641331177</v>
      </c>
      <c r="H8" s="122">
        <f>18667.8494106557*('2024 IR Data Book'!$A$5)</f>
        <v>5083.0064288666608</v>
      </c>
      <c r="I8" s="122">
        <f>C8+F8+G8+H8</f>
        <v>97654.779908464858</v>
      </c>
      <c r="J8" s="89">
        <f t="shared" si="0"/>
        <v>1.1552867363207042E-5</v>
      </c>
      <c r="K8" s="60" t="s">
        <v>206</v>
      </c>
      <c r="L8" s="122">
        <f>264108*('2024 IR Data Book'!$A$5)</f>
        <v>71913.086097042964</v>
      </c>
      <c r="M8" s="122">
        <f>51693*('2024 IR Data Book'!$A$5)</f>
        <v>14075.314491096226</v>
      </c>
      <c r="N8" s="122">
        <f>17857*('2024 IR Data Book'!$A$5)</f>
        <v>4862.2229483199908</v>
      </c>
      <c r="O8" s="122">
        <f>16690*('2024 IR Data Book'!$A$5)</f>
        <v>4544.4644121330939</v>
      </c>
      <c r="P8" s="122">
        <f>SUM(L8:O8)</f>
        <v>95395.087948592278</v>
      </c>
    </row>
    <row r="9" spans="1:16" x14ac:dyDescent="0.2">
      <c r="B9" s="61" t="s">
        <v>207</v>
      </c>
      <c r="C9" s="157">
        <f>C8/C7</f>
        <v>0.28450483778349095</v>
      </c>
      <c r="D9" s="157">
        <f>D8/D7</f>
        <v>0.3130585790631108</v>
      </c>
      <c r="E9" s="157">
        <f>E8/E7</f>
        <v>0.23259323619293404</v>
      </c>
      <c r="F9" s="157">
        <f t="shared" ref="F9:I9" si="1">F8/F7</f>
        <v>0.12776774967303361</v>
      </c>
      <c r="G9" s="157">
        <f t="shared" si="1"/>
        <v>0.17241153882206098</v>
      </c>
      <c r="H9" s="157">
        <f t="shared" si="1"/>
        <v>0.62383104493972263</v>
      </c>
      <c r="I9" s="158">
        <f t="shared" si="1"/>
        <v>0.25169386633118634</v>
      </c>
      <c r="J9" s="89">
        <f t="shared" si="0"/>
        <v>-0.26114697747255389</v>
      </c>
      <c r="K9" s="61" t="s">
        <v>207</v>
      </c>
      <c r="L9" s="157">
        <f>L8/L7</f>
        <v>0.34370531784042663</v>
      </c>
      <c r="M9" s="157">
        <f t="shared" ref="M9:P9" si="2">M8/M7</f>
        <v>0.19697306253275856</v>
      </c>
      <c r="N9" s="157">
        <f t="shared" si="2"/>
        <v>0.18788063417455639</v>
      </c>
      <c r="O9" s="157">
        <f t="shared" si="2"/>
        <v>0.64818596592436128</v>
      </c>
      <c r="P9" s="158">
        <f t="shared" si="2"/>
        <v>0.3042155028897317</v>
      </c>
    </row>
    <row r="10" spans="1:16" x14ac:dyDescent="0.2">
      <c r="B10" s="60" t="s">
        <v>268</v>
      </c>
      <c r="C10" s="122">
        <f>'Aramex Courier'!C13</f>
        <v>18459.274220976989</v>
      </c>
      <c r="D10" s="122"/>
      <c r="E10" s="122"/>
      <c r="F10" s="122">
        <f>'Aramex Freight'!C12</f>
        <v>1040.930266204912</v>
      </c>
      <c r="G10" s="122">
        <f>'Aramex Logistics'!C12</f>
        <v>1552.6872568352394</v>
      </c>
      <c r="H10" s="122">
        <f>2138.62386501166*('2024 IR Data Book'!$A$5)</f>
        <v>582.3187564699831</v>
      </c>
      <c r="I10" s="122">
        <f>C10+F10+G10+H10</f>
        <v>21635.210500487126</v>
      </c>
      <c r="J10" s="89"/>
      <c r="K10" s="60" t="s">
        <v>268</v>
      </c>
      <c r="L10" s="122">
        <f>67870*('2024 IR Data Book'!$A$5)</f>
        <v>18480.095844905514</v>
      </c>
      <c r="M10" s="122">
        <f>23017*('2024 IR Data Book'!$A$5)</f>
        <v>6267.222131460001</v>
      </c>
      <c r="N10" s="122">
        <f>6653*('2024 IR Data Book'!$A$5)</f>
        <v>1811.5231715950551</v>
      </c>
      <c r="O10" s="122">
        <f>1967*('2024 IR Data Book'!$A$5)</f>
        <v>535.58786690627892</v>
      </c>
      <c r="P10" s="122">
        <f>SUM(L10:O10)</f>
        <v>27094.429014866848</v>
      </c>
    </row>
    <row r="11" spans="1:16" x14ac:dyDescent="0.2">
      <c r="B11" s="61" t="s">
        <v>210</v>
      </c>
      <c r="C11" s="157">
        <f>C10/C7</f>
        <v>6.7648603647471509E-2</v>
      </c>
      <c r="D11" s="157"/>
      <c r="E11" s="157"/>
      <c r="F11" s="157">
        <f t="shared" ref="F11:I11" si="3">F10/F7</f>
        <v>1.3261110233280289E-2</v>
      </c>
      <c r="G11" s="157">
        <f t="shared" si="3"/>
        <v>5.4523677267220086E-2</v>
      </c>
      <c r="H11" s="157">
        <f t="shared" si="3"/>
        <v>7.1467255338031527E-2</v>
      </c>
      <c r="I11" s="158">
        <f t="shared" si="3"/>
        <v>5.5762245174899694E-2</v>
      </c>
      <c r="J11" s="89"/>
      <c r="K11" s="61" t="s">
        <v>210</v>
      </c>
      <c r="L11" s="157">
        <f>L10/L7</f>
        <v>8.8324775931928431E-2</v>
      </c>
      <c r="M11" s="157">
        <f t="shared" ref="M11:P11" si="4">M10/M7</f>
        <v>8.7704891964414999E-2</v>
      </c>
      <c r="N11" s="157">
        <f t="shared" si="4"/>
        <v>6.9998872104122964E-2</v>
      </c>
      <c r="O11" s="157">
        <f t="shared" si="4"/>
        <v>7.6391958955854919E-2</v>
      </c>
      <c r="P11" s="158">
        <f t="shared" si="4"/>
        <v>8.6404295289393779E-2</v>
      </c>
    </row>
    <row r="12" spans="1:16" x14ac:dyDescent="0.2">
      <c r="B12" s="61" t="s">
        <v>211</v>
      </c>
      <c r="C12" s="156">
        <f>'Aramex Courier'!C15</f>
        <v>34572.725176407177</v>
      </c>
      <c r="D12" s="156"/>
      <c r="E12" s="156"/>
      <c r="F12" s="156">
        <f>'Aramex Freight'!C14</f>
        <v>3172.004430026956</v>
      </c>
      <c r="G12" s="156">
        <f>'Aramex Logistics'!C14</f>
        <v>7076.02872459628</v>
      </c>
      <c r="H12" s="156">
        <f>5237.50723887273*('2024 IR Data Book'!$A$5)</f>
        <v>1426.1033706019523</v>
      </c>
      <c r="I12" s="122">
        <f>C12+F12+G12+H12</f>
        <v>46246.86170163237</v>
      </c>
      <c r="J12" s="89"/>
      <c r="K12" s="61" t="s">
        <v>211</v>
      </c>
      <c r="L12" s="156">
        <f>122353.985142297*('2024 IR Data Book'!$A$5)</f>
        <v>33315.358367994602</v>
      </c>
      <c r="M12" s="156">
        <f>30232.6171423544*('2024 IR Data Book'!$A$5)</f>
        <v>8231.9384475179431</v>
      </c>
      <c r="N12" s="156">
        <f>25377.6620862351*('2024 IR Data Book'!$A$5)</f>
        <v>6909.9989343340139</v>
      </c>
      <c r="O12" s="156">
        <f>4921.08205567359*('2024 IR Data Book'!$A$5)</f>
        <v>1339.9450132531692</v>
      </c>
      <c r="P12" s="122">
        <f>SUM(L12:O12)</f>
        <v>49797.240763099726</v>
      </c>
    </row>
    <row r="13" spans="1:16" x14ac:dyDescent="0.2">
      <c r="B13" s="123" t="s">
        <v>212</v>
      </c>
      <c r="C13" s="159">
        <f>C12/C7</f>
        <v>0.12670035422161596</v>
      </c>
      <c r="D13" s="159"/>
      <c r="E13" s="159"/>
      <c r="F13" s="159">
        <f t="shared" ref="F13:I13" si="5">F12/F7</f>
        <v>4.0410296225127075E-2</v>
      </c>
      <c r="G13" s="159">
        <f t="shared" si="5"/>
        <v>0.24847959871831818</v>
      </c>
      <c r="H13" s="159">
        <f t="shared" si="5"/>
        <v>0.17502388956707221</v>
      </c>
      <c r="I13" s="159">
        <f t="shared" si="5"/>
        <v>0.11919592096032712</v>
      </c>
      <c r="J13" s="89"/>
      <c r="K13" s="123" t="s">
        <v>212</v>
      </c>
      <c r="L13" s="159">
        <f t="shared" ref="L13" si="6">L12/L7</f>
        <v>0.159229237101398</v>
      </c>
      <c r="M13" s="159">
        <f t="shared" ref="M13" si="7">M12/M7</f>
        <v>0.11519956641924288</v>
      </c>
      <c r="N13" s="159">
        <f t="shared" ref="N13" si="8">N12/N7</f>
        <v>0.26700852587945606</v>
      </c>
      <c r="O13" s="159">
        <f t="shared" ref="O13:P13" si="9">O12/O7</f>
        <v>0.19111901292090036</v>
      </c>
      <c r="P13" s="159">
        <f t="shared" si="9"/>
        <v>0.15880369699361424</v>
      </c>
    </row>
    <row r="14" spans="1:16" x14ac:dyDescent="0.2">
      <c r="C14" s="124"/>
      <c r="D14" s="124"/>
      <c r="E14" s="124"/>
      <c r="F14" s="124"/>
      <c r="G14" s="124"/>
      <c r="H14" s="124"/>
      <c r="I14" s="124"/>
      <c r="L14" s="124"/>
      <c r="M14" s="124"/>
      <c r="N14" s="124"/>
      <c r="O14" s="124"/>
      <c r="P14" s="124"/>
    </row>
    <row r="15" spans="1:16" x14ac:dyDescent="0.2">
      <c r="C15" s="124"/>
      <c r="D15" s="124"/>
      <c r="E15" s="124"/>
      <c r="F15" s="124"/>
      <c r="G15" s="124"/>
      <c r="H15" s="124"/>
      <c r="I15" s="124"/>
      <c r="L15" s="124"/>
      <c r="M15" s="124"/>
      <c r="N15" s="124"/>
      <c r="O15" s="124"/>
      <c r="P15" s="124"/>
    </row>
    <row r="16" spans="1:16" x14ac:dyDescent="0.2">
      <c r="C16" s="124"/>
      <c r="D16" s="124"/>
      <c r="E16" s="124"/>
      <c r="F16" s="124"/>
      <c r="G16" s="124"/>
      <c r="H16" s="124"/>
      <c r="I16" s="124"/>
      <c r="L16" s="124"/>
      <c r="M16" s="124"/>
      <c r="N16" s="124"/>
      <c r="O16" s="124"/>
      <c r="P16" s="124"/>
    </row>
    <row r="17" spans="2:16" x14ac:dyDescent="0.2">
      <c r="C17" s="124"/>
      <c r="D17" s="124"/>
      <c r="E17" s="124"/>
      <c r="F17" s="124"/>
      <c r="G17" s="124"/>
      <c r="H17" s="124"/>
      <c r="I17" s="124"/>
      <c r="L17" s="124"/>
      <c r="M17" s="124"/>
      <c r="N17" s="124"/>
      <c r="O17" s="124"/>
      <c r="P17" s="124"/>
    </row>
    <row r="18" spans="2:16" x14ac:dyDescent="0.2">
      <c r="B18" s="120"/>
      <c r="C18" s="270" t="s">
        <v>23</v>
      </c>
      <c r="D18" s="270"/>
      <c r="E18" s="270"/>
      <c r="F18" s="270"/>
      <c r="G18" s="270"/>
      <c r="H18" s="270"/>
      <c r="I18" s="270"/>
      <c r="K18" s="120"/>
      <c r="L18" s="270" t="s">
        <v>269</v>
      </c>
      <c r="M18" s="270"/>
      <c r="N18" s="270"/>
      <c r="O18" s="270"/>
      <c r="P18" s="270"/>
    </row>
    <row r="19" spans="2:16" x14ac:dyDescent="0.2">
      <c r="B19" s="120"/>
      <c r="C19" s="132" t="s">
        <v>262</v>
      </c>
      <c r="D19" s="132" t="s">
        <v>263</v>
      </c>
      <c r="E19" s="132" t="s">
        <v>238</v>
      </c>
      <c r="F19" s="132" t="s">
        <v>264</v>
      </c>
      <c r="G19" s="132" t="s">
        <v>265</v>
      </c>
      <c r="H19" s="132" t="s">
        <v>266</v>
      </c>
      <c r="I19" s="132" t="s">
        <v>253</v>
      </c>
      <c r="K19" s="120"/>
      <c r="L19" s="132" t="s">
        <v>262</v>
      </c>
      <c r="M19" s="132" t="s">
        <v>264</v>
      </c>
      <c r="N19" s="132" t="s">
        <v>265</v>
      </c>
      <c r="O19" s="132" t="s">
        <v>266</v>
      </c>
      <c r="P19" s="132" t="s">
        <v>253</v>
      </c>
    </row>
    <row r="20" spans="2:16" x14ac:dyDescent="0.2">
      <c r="B20" s="59" t="s">
        <v>267</v>
      </c>
      <c r="C20" s="121">
        <f>'Aramex Courier'!D7</f>
        <v>299728.17011568911</v>
      </c>
      <c r="D20" s="121">
        <f>'Aramex Express+Parcel Forwardin'!D7</f>
        <v>199737.43791727169</v>
      </c>
      <c r="E20" s="121">
        <f>'Aramex Domestic'!D7</f>
        <v>99990.732198416925</v>
      </c>
      <c r="F20" s="121">
        <f>'Aramex Freight'!D7</f>
        <v>89472.005469589654</v>
      </c>
      <c r="G20" s="121">
        <f>'Aramex Logistics'!D7</f>
        <v>29627.234527230841</v>
      </c>
      <c r="H20" s="121">
        <f>32737.7270639149*('2024 IR Data Book'!$A$5)</f>
        <v>8914.04646950795</v>
      </c>
      <c r="I20" s="121">
        <f>C20+F20+G20+H20</f>
        <v>427741.45658201759</v>
      </c>
      <c r="J20" s="28">
        <f>C20-D20-E20</f>
        <v>4.9476511776447296E-10</v>
      </c>
      <c r="K20" s="59" t="s">
        <v>267</v>
      </c>
      <c r="L20" s="121">
        <f>918423.610580826*('2024 IR Data Book'!$A$5)</f>
        <v>250074.50051212381</v>
      </c>
      <c r="M20" s="121">
        <f>267575.35078716*('2024 IR Data Book'!$A$5)</f>
        <v>72857.199473713437</v>
      </c>
      <c r="N20" s="121">
        <f>85013.8082673105*('2024 IR Data Book'!$A$5)</f>
        <v>23148.126195967568</v>
      </c>
      <c r="O20" s="121">
        <f>22763.1096013526*('2024 IR Data Book'!$A$5)</f>
        <v>6198.0911619432009</v>
      </c>
      <c r="P20" s="121">
        <f>SUM(L20:O20)</f>
        <v>352277.91734374798</v>
      </c>
    </row>
    <row r="21" spans="2:16" x14ac:dyDescent="0.2">
      <c r="B21" s="60" t="s">
        <v>206</v>
      </c>
      <c r="C21" s="122">
        <f>'Aramex Courier'!D10</f>
        <v>88575.219637157279</v>
      </c>
      <c r="D21" s="122">
        <f>'Aramex Express+Parcel Forwardin'!D10</f>
        <v>64029.434303902701</v>
      </c>
      <c r="E21" s="122">
        <f>'Aramex Domestic'!D9</f>
        <v>24545.785357897665</v>
      </c>
      <c r="F21" s="122">
        <f>'Aramex Freight'!D9</f>
        <v>9245.0441605478409</v>
      </c>
      <c r="G21" s="122">
        <f>'Aramex Logistics'!D9</f>
        <v>1882.8131466358973</v>
      </c>
      <c r="H21" s="122">
        <f>22494.6156898403*('2024 IR Data Book'!$A$5)</f>
        <v>6124.9838506345086</v>
      </c>
      <c r="I21" s="122">
        <f>C21+F21+G21+H21</f>
        <v>105828.06079497552</v>
      </c>
      <c r="J21" s="28">
        <f t="shared" ref="J21:J22" si="10">C21-D21-E21</f>
        <v>-2.4643086362630129E-5</v>
      </c>
      <c r="K21" s="60" t="s">
        <v>206</v>
      </c>
      <c r="L21" s="122">
        <f>311978*('2024 IR Data Book'!$A$5)</f>
        <v>84947.44867396394</v>
      </c>
      <c r="M21" s="122">
        <f>30987*('2024 IR Data Book'!$A$5)</f>
        <v>8437.3468387518369</v>
      </c>
      <c r="N21" s="122">
        <f>11371*('2024 IR Data Book'!$A$5)</f>
        <v>3096.1716495126066</v>
      </c>
      <c r="O21" s="122">
        <f>14079*('2024 IR Data Book'!$A$5)</f>
        <v>3833.5239339977124</v>
      </c>
      <c r="P21" s="122">
        <f>SUM(L21:O21)</f>
        <v>100314.49109622609</v>
      </c>
    </row>
    <row r="22" spans="2:16" x14ac:dyDescent="0.2">
      <c r="B22" s="61" t="s">
        <v>207</v>
      </c>
      <c r="C22" s="157">
        <f>C21/C20</f>
        <v>0.2955185013239463</v>
      </c>
      <c r="D22" s="157">
        <f t="shared" ref="D22:E22" si="11">D21/D20</f>
        <v>0.32056801654992068</v>
      </c>
      <c r="E22" s="157">
        <f t="shared" si="11"/>
        <v>0.24548060423430201</v>
      </c>
      <c r="F22" s="157">
        <f t="shared" ref="F22:I22" si="12">F21/F20</f>
        <v>0.10332890284537222</v>
      </c>
      <c r="G22" s="157">
        <f t="shared" si="12"/>
        <v>6.3550080751052729E-2</v>
      </c>
      <c r="H22" s="157">
        <f t="shared" si="12"/>
        <v>0.68711598841065991</v>
      </c>
      <c r="I22" s="158">
        <f t="shared" si="12"/>
        <v>0.24741127886135453</v>
      </c>
      <c r="J22" s="28">
        <f t="shared" si="10"/>
        <v>-0.27053011946027639</v>
      </c>
      <c r="K22" s="61" t="s">
        <v>207</v>
      </c>
      <c r="L22" s="157">
        <f>L21/L20</f>
        <v>0.33968856680709686</v>
      </c>
      <c r="M22" s="157">
        <f t="shared" ref="M22:P22" si="13">M21/M20</f>
        <v>0.11580663132400519</v>
      </c>
      <c r="N22" s="157">
        <f t="shared" si="13"/>
        <v>0.13375474210314109</v>
      </c>
      <c r="O22" s="157">
        <f t="shared" si="13"/>
        <v>0.61850073415116424</v>
      </c>
      <c r="P22" s="158">
        <f t="shared" si="13"/>
        <v>0.28475952126837567</v>
      </c>
    </row>
    <row r="23" spans="2:16" x14ac:dyDescent="0.2">
      <c r="B23" s="60" t="s">
        <v>268</v>
      </c>
      <c r="C23" s="122">
        <f>'Aramex Courier'!D13</f>
        <v>28488.472398804388</v>
      </c>
      <c r="D23" s="122"/>
      <c r="E23" s="122"/>
      <c r="F23" s="122">
        <f>'Aramex Freight'!D12</f>
        <v>46.782688670048735</v>
      </c>
      <c r="G23" s="122">
        <f>'Aramex Logistics'!D12</f>
        <v>-1385.5008681730571</v>
      </c>
      <c r="H23" s="122">
        <f>-159.111807897699*('2024 IR Data Book'!$A$5)</f>
        <v>-43.324023279883193</v>
      </c>
      <c r="I23" s="122">
        <f>C23+F23+G23+H23</f>
        <v>27106.430196021498</v>
      </c>
      <c r="J23" s="28"/>
      <c r="K23" s="60" t="s">
        <v>268</v>
      </c>
      <c r="L23" s="122">
        <f>126244*('2024 IR Data Book'!$A$5)</f>
        <v>34374.557534171974</v>
      </c>
      <c r="M23" s="122">
        <f>3953*('2024 IR Data Book'!$A$5)</f>
        <v>1076.3491804171431</v>
      </c>
      <c r="N23" s="122">
        <f>1270*('2024 IR Data Book'!$A$5)</f>
        <v>345.80406251701788</v>
      </c>
      <c r="O23" s="122">
        <f>-4745*('2024 IR Data Book'!$A$5)</f>
        <v>-1292.0002178293307</v>
      </c>
      <c r="P23" s="122">
        <f>SUM(L23:O23)</f>
        <v>34504.710559276806</v>
      </c>
    </row>
    <row r="24" spans="2:16" x14ac:dyDescent="0.2">
      <c r="B24" s="61" t="s">
        <v>210</v>
      </c>
      <c r="C24" s="157">
        <f>C23/C20</f>
        <v>9.5047697344591953E-2</v>
      </c>
      <c r="D24" s="157"/>
      <c r="E24" s="157"/>
      <c r="F24" s="157">
        <f t="shared" ref="F24:I24" si="14">F23/F20</f>
        <v>5.2287515435148646E-4</v>
      </c>
      <c r="G24" s="157">
        <f t="shared" si="14"/>
        <v>-4.6764434490152031E-2</v>
      </c>
      <c r="H24" s="157">
        <f t="shared" si="14"/>
        <v>-4.860197153793237E-3</v>
      </c>
      <c r="I24" s="158">
        <f t="shared" si="14"/>
        <v>6.3371061604883178E-2</v>
      </c>
      <c r="J24" s="28"/>
      <c r="K24" s="61" t="s">
        <v>210</v>
      </c>
      <c r="L24" s="157">
        <f>L23/L20</f>
        <v>0.13745726758936572</v>
      </c>
      <c r="M24" s="157">
        <f t="shared" ref="M24:P24" si="15">M23/M20</f>
        <v>1.4773408643101706E-2</v>
      </c>
      <c r="N24" s="157">
        <f t="shared" si="15"/>
        <v>1.4938749667662404E-2</v>
      </c>
      <c r="O24" s="157">
        <f t="shared" si="15"/>
        <v>-0.20845130929379038</v>
      </c>
      <c r="P24" s="158">
        <f t="shared" si="15"/>
        <v>9.7947412711673273E-2</v>
      </c>
    </row>
    <row r="25" spans="2:16" x14ac:dyDescent="0.2">
      <c r="B25" s="61" t="s">
        <v>211</v>
      </c>
      <c r="C25" s="156">
        <f>'Aramex Courier'!D15</f>
        <v>44773.075117149434</v>
      </c>
      <c r="D25" s="156"/>
      <c r="E25" s="156"/>
      <c r="F25" s="156">
        <f>'Aramex Freight'!D14</f>
        <v>2103.6559215621305</v>
      </c>
      <c r="G25" s="156">
        <f>'Aramex Logistics'!D14</f>
        <v>4679.2517905614004</v>
      </c>
      <c r="H25" s="156">
        <f>3366.65007097598*('2024 IR Data Book'!$A$5)</f>
        <v>916.69391465881927</v>
      </c>
      <c r="I25" s="122">
        <f>C25+F25+G25+H25</f>
        <v>52472.676743931785</v>
      </c>
      <c r="J25" s="28"/>
      <c r="K25" s="61" t="s">
        <v>211</v>
      </c>
      <c r="L25" s="156">
        <f>179449.986513259*('2024 IR Data Book'!$A$5)</f>
        <v>48861.838074731524</v>
      </c>
      <c r="M25" s="156">
        <f>10653.4667073961*('2024 IR Data Book'!$A$5)</f>
        <v>2900.7969033916302</v>
      </c>
      <c r="N25" s="156">
        <f>21000.470435179*('2024 IR Data Book'!$A$5)</f>
        <v>5718.1480246089959</v>
      </c>
      <c r="O25" s="156">
        <f>-1714.19742397212*('2024 IR Data Book'!$A$5)</f>
        <v>-466.75309698091814</v>
      </c>
      <c r="P25" s="122">
        <f>SUM(L25:O25)</f>
        <v>57014.029905751231</v>
      </c>
    </row>
    <row r="26" spans="2:16" x14ac:dyDescent="0.2">
      <c r="B26" s="123" t="s">
        <v>212</v>
      </c>
      <c r="C26" s="159">
        <f>C25/C20</f>
        <v>0.14937893592006357</v>
      </c>
      <c r="D26" s="159"/>
      <c r="E26" s="159"/>
      <c r="F26" s="159">
        <f t="shared" ref="F26:I26" si="16">F25/F20</f>
        <v>2.3511889674554521E-2</v>
      </c>
      <c r="G26" s="159">
        <f t="shared" si="16"/>
        <v>0.15793751476401313</v>
      </c>
      <c r="H26" s="159">
        <f t="shared" si="16"/>
        <v>0.10283701322340316</v>
      </c>
      <c r="I26" s="159">
        <f t="shared" si="16"/>
        <v>0.12267381600845691</v>
      </c>
      <c r="J26" s="28"/>
      <c r="K26" s="123" t="s">
        <v>212</v>
      </c>
      <c r="L26" s="159">
        <f>L25/L20</f>
        <v>0.19538912593914254</v>
      </c>
      <c r="M26" s="159">
        <f t="shared" ref="M26:P26" si="17">M25/M20</f>
        <v>3.9814828518604059E-2</v>
      </c>
      <c r="N26" s="159">
        <f t="shared" si="17"/>
        <v>0.24702422892463341</v>
      </c>
      <c r="O26" s="159">
        <f t="shared" si="17"/>
        <v>-7.5305942553220456E-2</v>
      </c>
      <c r="P26" s="159">
        <f t="shared" si="17"/>
        <v>0.16184389397907595</v>
      </c>
    </row>
    <row r="27" spans="2:16" x14ac:dyDescent="0.2">
      <c r="C27" s="124"/>
      <c r="D27" s="124"/>
      <c r="E27" s="124"/>
      <c r="F27" s="124"/>
      <c r="G27" s="124"/>
      <c r="H27" s="124"/>
      <c r="I27" s="124"/>
      <c r="L27" s="124"/>
      <c r="M27" s="124"/>
      <c r="N27" s="124"/>
      <c r="O27" s="124"/>
      <c r="P27" s="124"/>
    </row>
    <row r="28" spans="2:16" x14ac:dyDescent="0.2">
      <c r="C28" s="124"/>
      <c r="D28" s="124"/>
      <c r="E28" s="124"/>
      <c r="F28" s="124"/>
      <c r="G28" s="124"/>
      <c r="H28" s="124"/>
      <c r="I28" s="124"/>
      <c r="L28" s="124"/>
      <c r="M28" s="124"/>
      <c r="N28" s="124"/>
      <c r="O28" s="124"/>
      <c r="P28" s="124"/>
    </row>
    <row r="29" spans="2:16" x14ac:dyDescent="0.2">
      <c r="C29" s="124"/>
      <c r="D29" s="124"/>
      <c r="E29" s="124"/>
      <c r="F29" s="124"/>
      <c r="G29" s="124"/>
      <c r="H29" s="124"/>
      <c r="I29" s="124"/>
      <c r="L29" s="124"/>
      <c r="M29" s="124"/>
      <c r="N29" s="124"/>
      <c r="O29" s="124"/>
      <c r="P29" s="124"/>
    </row>
    <row r="31" spans="2:16" x14ac:dyDescent="0.2">
      <c r="B31" s="120"/>
      <c r="C31" s="270" t="s">
        <v>24</v>
      </c>
      <c r="D31" s="270"/>
      <c r="E31" s="270"/>
      <c r="F31" s="270"/>
      <c r="G31" s="270"/>
      <c r="H31" s="270"/>
      <c r="I31" s="270"/>
      <c r="K31" s="120"/>
      <c r="L31" s="270" t="s">
        <v>270</v>
      </c>
      <c r="M31" s="270"/>
      <c r="N31" s="270"/>
      <c r="O31" s="270"/>
      <c r="P31" s="270"/>
    </row>
    <row r="32" spans="2:16" x14ac:dyDescent="0.2">
      <c r="B32" s="120"/>
      <c r="C32" s="132" t="s">
        <v>262</v>
      </c>
      <c r="D32" s="132" t="s">
        <v>263</v>
      </c>
      <c r="E32" s="132" t="s">
        <v>238</v>
      </c>
      <c r="F32" s="132" t="s">
        <v>264</v>
      </c>
      <c r="G32" s="132" t="s">
        <v>265</v>
      </c>
      <c r="H32" s="132" t="s">
        <v>266</v>
      </c>
      <c r="I32" s="132" t="s">
        <v>253</v>
      </c>
      <c r="K32" s="120"/>
      <c r="L32" s="132" t="s">
        <v>262</v>
      </c>
      <c r="M32" s="132" t="s">
        <v>264</v>
      </c>
      <c r="N32" s="132" t="s">
        <v>265</v>
      </c>
      <c r="O32" s="132" t="s">
        <v>266</v>
      </c>
      <c r="P32" s="132" t="s">
        <v>253</v>
      </c>
    </row>
    <row r="33" spans="2:18" x14ac:dyDescent="0.2">
      <c r="B33" s="59" t="s">
        <v>267</v>
      </c>
      <c r="C33" s="121">
        <f>'Aramex Courier'!E7</f>
        <v>291251.90801540873</v>
      </c>
      <c r="D33" s="121">
        <f>'Aramex Express+Parcel Forwardin'!E7</f>
        <v>165789.03939558187</v>
      </c>
      <c r="E33" s="121">
        <f>'Aramex Domestic'!E7</f>
        <v>125462.86861982736</v>
      </c>
      <c r="F33" s="121">
        <f>'Aramex Freight'!E7</f>
        <v>86587.146988338238</v>
      </c>
      <c r="G33" s="121">
        <f>'Aramex Logistics'!E7</f>
        <v>29528.129983085277</v>
      </c>
      <c r="H33" s="121">
        <f>-34692.5657379868*('2024 IR Data Book'!$A$5)</f>
        <v>-9446.3229695547561</v>
      </c>
      <c r="I33" s="121">
        <f>C33+F33+G33+H33</f>
        <v>397920.86201727751</v>
      </c>
      <c r="J33" s="89">
        <f t="shared" ref="J33:J35" si="18">C33-D33-E33</f>
        <v>-5.0931703299283981E-10</v>
      </c>
      <c r="K33" s="59" t="s">
        <v>267</v>
      </c>
      <c r="L33" s="121">
        <f>1065472.5562529*('2024 IR Data Book'!$A$5)</f>
        <v>290113.967285547</v>
      </c>
      <c r="M33" s="121">
        <f>274871.806204384*('2024 IR Data Book'!$A$5)</f>
        <v>74843.92697391058</v>
      </c>
      <c r="N33" s="121">
        <f>94045.7817679466*('2024 IR Data Book'!$A$5)</f>
        <v>25607.412124366005</v>
      </c>
      <c r="O33" s="121">
        <f>32143.5876797614*('2024 IR Data Book'!$A$5)</f>
        <v>8752.2702390027225</v>
      </c>
      <c r="P33" s="121">
        <f>SUM(L33:O33)</f>
        <v>399317.57662282634</v>
      </c>
    </row>
    <row r="34" spans="2:18" x14ac:dyDescent="0.2">
      <c r="B34" s="60" t="s">
        <v>206</v>
      </c>
      <c r="C34" s="122">
        <f>'Aramex Courier'!E10</f>
        <v>87713.988392019586</v>
      </c>
      <c r="D34" s="122">
        <f>'Aramex Express+Parcel Forwardin'!E10</f>
        <v>53047.345390897186</v>
      </c>
      <c r="E34" s="122">
        <f>'Aramex Domestic'!E9</f>
        <v>34665.662593441972</v>
      </c>
      <c r="F34" s="122">
        <f>'Aramex Freight'!E9</f>
        <v>10404.268778629601</v>
      </c>
      <c r="G34" s="122">
        <f>'Aramex Logistics'!E9</f>
        <v>3721.5625675601477</v>
      </c>
      <c r="H34" s="122">
        <f>-17937.2596997755*('2024 IR Data Book'!$A$5)</f>
        <v>-4884.0765941772852</v>
      </c>
      <c r="I34" s="122">
        <f>C34+F34+G34+H34</f>
        <v>96955.743144032051</v>
      </c>
      <c r="J34" s="89">
        <f t="shared" si="18"/>
        <v>0.98040768042847048</v>
      </c>
      <c r="K34" s="60" t="s">
        <v>206</v>
      </c>
      <c r="L34" s="122">
        <f>343301*('2024 IR Data Book'!$A$5)</f>
        <v>93476.283831617926</v>
      </c>
      <c r="M34" s="122">
        <f>33865*('2024 IR Data Book'!$A$5)</f>
        <v>9220.9878560148118</v>
      </c>
      <c r="N34" s="122">
        <f>11665*('2024 IR Data Book'!$A$5)</f>
        <v>3176.2239285519795</v>
      </c>
      <c r="O34" s="122">
        <f>19225*('2024 IR Data Book'!$A$5)</f>
        <v>5234.7111038501334</v>
      </c>
      <c r="P34" s="122">
        <f>SUM(L34:O34)</f>
        <v>111108.20672003484</v>
      </c>
    </row>
    <row r="35" spans="2:18" x14ac:dyDescent="0.2">
      <c r="B35" s="61" t="s">
        <v>207</v>
      </c>
      <c r="C35" s="157">
        <f>C34/C33</f>
        <v>0.30116193569238031</v>
      </c>
      <c r="D35" s="157">
        <f t="shared" ref="D35:E35" si="19">D34/D33</f>
        <v>0.31996895322086566</v>
      </c>
      <c r="E35" s="157">
        <f t="shared" si="19"/>
        <v>0.27630216792256279</v>
      </c>
      <c r="F35" s="157">
        <f t="shared" ref="F35:I35" si="20">F34/F33</f>
        <v>0.12015950566001295</v>
      </c>
      <c r="G35" s="157">
        <f t="shared" si="20"/>
        <v>0.12603448202415751</v>
      </c>
      <c r="H35" s="157">
        <f t="shared" si="20"/>
        <v>0.51703468216347592</v>
      </c>
      <c r="I35" s="158">
        <f t="shared" si="20"/>
        <v>0.24365584315562294</v>
      </c>
      <c r="J35" s="89">
        <f t="shared" si="18"/>
        <v>-0.29510918545104814</v>
      </c>
      <c r="K35" s="61" t="s">
        <v>207</v>
      </c>
      <c r="L35" s="157">
        <f>L34/L33</f>
        <v>0.32220538951029937</v>
      </c>
      <c r="M35" s="157">
        <f t="shared" ref="M35:P35" si="21">M34/M33</f>
        <v>0.12320288671155782</v>
      </c>
      <c r="N35" s="157">
        <f t="shared" si="21"/>
        <v>0.12403533450104995</v>
      </c>
      <c r="O35" s="157">
        <f t="shared" si="21"/>
        <v>0.59809751766149788</v>
      </c>
      <c r="P35" s="158">
        <f t="shared" si="21"/>
        <v>0.27824521940586056</v>
      </c>
    </row>
    <row r="36" spans="2:18" x14ac:dyDescent="0.2">
      <c r="B36" s="61" t="s">
        <v>268</v>
      </c>
      <c r="C36" s="122">
        <f>'Aramex Courier'!E13</f>
        <v>11551.334738508222</v>
      </c>
      <c r="D36" s="122"/>
      <c r="E36" s="122"/>
      <c r="F36" s="122">
        <f>'Aramex Freight'!E12</f>
        <v>1535.7160650360372</v>
      </c>
      <c r="G36" s="122">
        <f>'Aramex Logistics'!E12</f>
        <v>1583.7290523495126</v>
      </c>
      <c r="H36" s="122">
        <f>14139.974323889*('2024 IR Data Book'!$A$5)</f>
        <v>3850.1264292024721</v>
      </c>
      <c r="I36" s="122">
        <f>C36+F36+G36+H36</f>
        <v>18520.906285096244</v>
      </c>
      <c r="J36" s="89"/>
      <c r="K36" s="61" t="s">
        <v>268</v>
      </c>
      <c r="L36" s="122">
        <f>135940*('2024 IR Data Book'!$A$5)</f>
        <v>37014.649022490878</v>
      </c>
      <c r="M36" s="122">
        <f>3055*('2024 IR Data Book'!$A$5)</f>
        <v>831.83575668463754</v>
      </c>
      <c r="N36" s="122">
        <f>-53234*('2024 IR Data Book'!$A$5)</f>
        <v>-14494.908239394434</v>
      </c>
      <c r="O36" s="122">
        <f>-1607*('2024 IR Data Book'!$A$5)</f>
        <v>-437.56466808255732</v>
      </c>
      <c r="P36" s="122">
        <f>SUM(L36:O36)</f>
        <v>22914.011871698527</v>
      </c>
    </row>
    <row r="37" spans="2:18" x14ac:dyDescent="0.2">
      <c r="B37" s="61" t="s">
        <v>210</v>
      </c>
      <c r="C37" s="157">
        <f>C36/C33</f>
        <v>3.9660975329634911E-2</v>
      </c>
      <c r="D37" s="157"/>
      <c r="E37" s="157"/>
      <c r="F37" s="157">
        <f t="shared" ref="F37:I37" si="22">F36/F33</f>
        <v>1.7736074214835501E-2</v>
      </c>
      <c r="G37" s="157">
        <f t="shared" si="22"/>
        <v>5.3634586858589649E-2</v>
      </c>
      <c r="H37" s="157">
        <f t="shared" si="22"/>
        <v>-0.40757937682327033</v>
      </c>
      <c r="I37" s="158">
        <f t="shared" si="22"/>
        <v>4.6544195223149863E-2</v>
      </c>
      <c r="J37" s="89"/>
      <c r="K37" s="61" t="s">
        <v>210</v>
      </c>
      <c r="L37" s="157">
        <f>L36/L33</f>
        <v>0.12758658043533255</v>
      </c>
      <c r="M37" s="157">
        <f t="shared" ref="M37:P37" si="23">M36/M33</f>
        <v>1.1114271929833431E-2</v>
      </c>
      <c r="N37" s="157">
        <f t="shared" si="23"/>
        <v>-0.56604346308005937</v>
      </c>
      <c r="O37" s="157">
        <f t="shared" si="23"/>
        <v>-4.9994419291652908E-2</v>
      </c>
      <c r="P37" s="158">
        <f t="shared" si="23"/>
        <v>5.7382928308567435E-2</v>
      </c>
    </row>
    <row r="38" spans="2:18" x14ac:dyDescent="0.2">
      <c r="B38" s="61" t="s">
        <v>211</v>
      </c>
      <c r="C38" s="156">
        <f>'Aramex Courier'!E15</f>
        <v>30869.822139541466</v>
      </c>
      <c r="D38" s="156"/>
      <c r="E38" s="156"/>
      <c r="F38" s="156">
        <f>'Aramex Freight'!E14</f>
        <v>3353.7117493265259</v>
      </c>
      <c r="G38" s="156">
        <f>'Aramex Logistics'!E14</f>
        <v>7874.2526350672279</v>
      </c>
      <c r="H38" s="156">
        <f>8523.57514388524*('2024 IR Data Book'!$A$5)</f>
        <v>2320.8558361610958</v>
      </c>
      <c r="I38" s="122">
        <f>C38+F38+G38+H38</f>
        <v>44418.642360096317</v>
      </c>
      <c r="J38" s="89"/>
      <c r="K38" s="61" t="s">
        <v>211</v>
      </c>
      <c r="L38" s="156">
        <f>190817.974518227*('2024 IR Data Book'!$A$5)</f>
        <v>51957.189598166697</v>
      </c>
      <c r="M38" s="156">
        <f>8915.85774876994*('2024 IR Data Book'!$A$5)</f>
        <v>2427.6691577547076</v>
      </c>
      <c r="N38" s="156">
        <f>-32546.2048357356*('2024 IR Data Book'!$A$5)</f>
        <v>-8861.8975210302233</v>
      </c>
      <c r="O38" s="156">
        <f>2291.72712826686*('2024 IR Data Book'!$A$5)</f>
        <v>624.0067331772749</v>
      </c>
      <c r="P38" s="122">
        <f>SUM(L38:O38)</f>
        <v>46146.967968068457</v>
      </c>
    </row>
    <row r="39" spans="2:18" x14ac:dyDescent="0.2">
      <c r="B39" s="123" t="s">
        <v>212</v>
      </c>
      <c r="C39" s="159">
        <f>C38/C33</f>
        <v>0.10599011127476732</v>
      </c>
      <c r="D39" s="159"/>
      <c r="E39" s="159"/>
      <c r="F39" s="159">
        <f t="shared" ref="F39:I39" si="24">F38/F33</f>
        <v>3.873221218130922E-2</v>
      </c>
      <c r="G39" s="159">
        <f t="shared" si="24"/>
        <v>0.26666953307161234</v>
      </c>
      <c r="H39" s="159">
        <f t="shared" si="24"/>
        <v>-0.24568880861274292</v>
      </c>
      <c r="I39" s="159">
        <f t="shared" si="24"/>
        <v>0.11162682482872105</v>
      </c>
      <c r="J39" s="89"/>
      <c r="K39" s="123" t="s">
        <v>212</v>
      </c>
      <c r="L39" s="159">
        <f>L38/L33</f>
        <v>0.17909234113856853</v>
      </c>
      <c r="M39" s="159">
        <f t="shared" ref="M39:P39" si="25">M38/M33</f>
        <v>3.2436421442730484E-2</v>
      </c>
      <c r="N39" s="159">
        <f t="shared" si="25"/>
        <v>-0.34606767282813156</v>
      </c>
      <c r="O39" s="159">
        <f t="shared" si="25"/>
        <v>7.129655690891662E-2</v>
      </c>
      <c r="P39" s="159">
        <f t="shared" si="25"/>
        <v>0.11556457984732381</v>
      </c>
    </row>
    <row r="42" spans="2:18" x14ac:dyDescent="0.2">
      <c r="B42" s="120"/>
      <c r="C42" s="270" t="s">
        <v>25</v>
      </c>
      <c r="D42" s="270"/>
      <c r="E42" s="270"/>
      <c r="F42" s="270"/>
      <c r="G42" s="270"/>
      <c r="H42" s="270"/>
      <c r="I42" s="270"/>
      <c r="K42" s="120"/>
      <c r="L42" s="270" t="s">
        <v>271</v>
      </c>
      <c r="M42" s="270"/>
      <c r="N42" s="270"/>
      <c r="O42" s="270"/>
      <c r="P42" s="270"/>
    </row>
    <row r="43" spans="2:18" x14ac:dyDescent="0.2">
      <c r="B43" s="120"/>
      <c r="C43" s="132" t="s">
        <v>262</v>
      </c>
      <c r="D43" s="132" t="s">
        <v>263</v>
      </c>
      <c r="E43" s="132" t="s">
        <v>238</v>
      </c>
      <c r="F43" s="132" t="s">
        <v>264</v>
      </c>
      <c r="G43" s="132" t="s">
        <v>265</v>
      </c>
      <c r="H43" s="132" t="s">
        <v>266</v>
      </c>
      <c r="I43" s="132" t="s">
        <v>253</v>
      </c>
      <c r="K43" s="120"/>
      <c r="L43" s="132" t="s">
        <v>262</v>
      </c>
      <c r="M43" s="132" t="s">
        <v>264</v>
      </c>
      <c r="N43" s="132" t="s">
        <v>265</v>
      </c>
      <c r="O43" s="132" t="s">
        <v>266</v>
      </c>
      <c r="P43" s="132" t="s">
        <v>253</v>
      </c>
    </row>
    <row r="44" spans="2:18" x14ac:dyDescent="0.2">
      <c r="B44" s="59" t="s">
        <v>267</v>
      </c>
      <c r="C44" s="121">
        <f>'Aramex Courier'!F7</f>
        <v>298740.34110140498</v>
      </c>
      <c r="D44" s="121">
        <f>'Aramex Express+Parcel Forwardin'!F7</f>
        <v>183302.44483557099</v>
      </c>
      <c r="E44" s="121">
        <f>'Aramex Domestic'!F7</f>
        <v>115437.89626583483</v>
      </c>
      <c r="F44" s="121">
        <f>'Aramex Freight'!F7</f>
        <v>106375.87104304251</v>
      </c>
      <c r="G44" s="121">
        <f>'Aramex Logistics'!F7</f>
        <v>30772.860588623316</v>
      </c>
      <c r="H44" s="121">
        <f>10698.3087688035*('2024 IR Data Book'!$A$5)</f>
        <v>2913.0067986721938</v>
      </c>
      <c r="I44" s="122">
        <f>C44+F44+G44+H44</f>
        <v>438802.07953174302</v>
      </c>
      <c r="J44" s="89">
        <f t="shared" ref="J44:J46" si="26">C44-D44-E44</f>
        <v>-8.440110832452774E-10</v>
      </c>
      <c r="K44" s="59" t="s">
        <v>267</v>
      </c>
      <c r="L44" s="121">
        <f>1183088.24381891*('2024 IR Data Book'!$A$5)</f>
        <v>322139.1504163018</v>
      </c>
      <c r="M44" s="121">
        <f>279847.239544934*('2024 IR Data Book'!$A$5)</f>
        <v>76198.671117174206</v>
      </c>
      <c r="N44" s="121">
        <f>100758.250635899*('2024 IR Data Book'!$A$5)</f>
        <v>27435.127875591952</v>
      </c>
      <c r="O44" s="121">
        <f>34652.0164646013*('2024 IR Data Book'!$A$5)</f>
        <v>9435.2819432013548</v>
      </c>
      <c r="P44" s="121">
        <f>SUM(L44:O44)</f>
        <v>435208.23135226936</v>
      </c>
      <c r="R44" s="28"/>
    </row>
    <row r="45" spans="2:18" x14ac:dyDescent="0.2">
      <c r="B45" s="60" t="s">
        <v>206</v>
      </c>
      <c r="C45" s="122">
        <f>'Aramex Courier'!F10</f>
        <v>73379.523091181967</v>
      </c>
      <c r="D45" s="122">
        <f>'Aramex Express+Parcel Forwardin'!F10</f>
        <v>50247.341362648003</v>
      </c>
      <c r="E45" s="122">
        <f>'Aramex Domestic'!F9</f>
        <v>23133.144362153791</v>
      </c>
      <c r="F45" s="122">
        <f>'Aramex Freight'!F9</f>
        <v>12219.779379998901</v>
      </c>
      <c r="G45" s="122">
        <f>'Aramex Logistics'!F9</f>
        <v>1051.796095762129</v>
      </c>
      <c r="H45" s="122">
        <f>9242.01243149337*('2024 IR Data Book'!$A$5)</f>
        <v>2516.4767280655037</v>
      </c>
      <c r="I45" s="122">
        <f>C45+F45+G45+H45</f>
        <v>89167.575295008501</v>
      </c>
      <c r="J45" s="89">
        <f>C45-D45-E45</f>
        <v>-0.96263361982710194</v>
      </c>
      <c r="K45" s="60" t="s">
        <v>206</v>
      </c>
      <c r="L45" s="122">
        <f>354414*('2024 IR Data Book'!$A$5)</f>
        <v>96502.205521973534</v>
      </c>
      <c r="M45" s="122">
        <f>18812*('2024 IR Data Book'!$A$5)</f>
        <v>5122.2567118662528</v>
      </c>
      <c r="N45" s="122">
        <f>9009.99999999999*('2024 IR Data Book'!$A$5)</f>
        <v>2453.3028372270301</v>
      </c>
      <c r="O45" s="122">
        <f>24736*('2024 IR Data Book'!$A$5)</f>
        <v>6735.2829058432717</v>
      </c>
      <c r="P45" s="122">
        <f>SUM(L45:O45)</f>
        <v>110813.04797691009</v>
      </c>
      <c r="R45" s="28"/>
    </row>
    <row r="46" spans="2:18" x14ac:dyDescent="0.2">
      <c r="B46" s="61" t="s">
        <v>207</v>
      </c>
      <c r="C46" s="157">
        <f>C45/C44</f>
        <v>0.24562977608127551</v>
      </c>
      <c r="D46" s="157">
        <f t="shared" ref="D46:E46" si="27">D45/D44</f>
        <v>0.27412259235124609</v>
      </c>
      <c r="E46" s="157">
        <f t="shared" si="27"/>
        <v>0.20039471534444717</v>
      </c>
      <c r="F46" s="157">
        <f t="shared" ref="F46:I46" si="28">F45/F44</f>
        <v>0.11487360112947469</v>
      </c>
      <c r="G46" s="157">
        <f t="shared" si="28"/>
        <v>3.4179341005138031E-2</v>
      </c>
      <c r="H46" s="157">
        <f t="shared" si="28"/>
        <v>0.86387602295077504</v>
      </c>
      <c r="I46" s="158">
        <f t="shared" si="28"/>
        <v>0.20320682023695402</v>
      </c>
      <c r="J46" s="89">
        <f t="shared" si="26"/>
        <v>-0.22888753161441774</v>
      </c>
      <c r="K46" s="61" t="s">
        <v>207</v>
      </c>
      <c r="L46" s="157">
        <f t="shared" ref="L46" si="29">L45/L44</f>
        <v>0.29956683438589604</v>
      </c>
      <c r="M46" s="157">
        <f t="shared" ref="M46" si="30">M45/M44</f>
        <v>6.7222389009770567E-2</v>
      </c>
      <c r="N46" s="157">
        <f t="shared" ref="N46" si="31">N45/N44</f>
        <v>8.9421957439084709E-2</v>
      </c>
      <c r="O46" s="157">
        <f t="shared" ref="O46" si="32">O45/O44</f>
        <v>0.71384013179345607</v>
      </c>
      <c r="P46" s="158">
        <f t="shared" ref="P46" si="33">P45/P44</f>
        <v>0.25462075391495753</v>
      </c>
    </row>
    <row r="47" spans="2:18" x14ac:dyDescent="0.2">
      <c r="B47" s="61" t="s">
        <v>268</v>
      </c>
      <c r="C47" s="122">
        <f>'Aramex Courier'!F13</f>
        <v>10178.069397707917</v>
      </c>
      <c r="D47" s="122"/>
      <c r="E47" s="122"/>
      <c r="F47" s="122">
        <f>'Aramex Freight'!F12</f>
        <v>1126.3981689681777</v>
      </c>
      <c r="G47" s="122">
        <f>'Aramex Logistics'!F12</f>
        <v>4318.1274651349449</v>
      </c>
      <c r="H47" s="122">
        <f>1272.02172689161*('2024 IR Data Book'!$A$5)</f>
        <v>346.35455178663886</v>
      </c>
      <c r="I47" s="122">
        <f>C47+F47+G47+H47</f>
        <v>15968.94958359768</v>
      </c>
      <c r="K47" s="61" t="s">
        <v>268</v>
      </c>
      <c r="L47" s="122">
        <f>127651*('2024 IR Data Book'!$A$5)</f>
        <v>34757.664869574684</v>
      </c>
      <c r="M47" s="122">
        <f>-13506*('2024 IR Data Book'!$A$5)</f>
        <v>-3677.5036758699557</v>
      </c>
      <c r="N47" s="122">
        <f>-39394*('2024 IR Data Book'!$A$5)</f>
        <v>-10726.460817949137</v>
      </c>
      <c r="O47" s="122">
        <f>14414*('2024 IR Data Book'!$A$5)</f>
        <v>3924.7399662364537</v>
      </c>
      <c r="P47" s="122">
        <f>SUM(L47:O47)</f>
        <v>24278.440341992045</v>
      </c>
      <c r="R47" s="28"/>
    </row>
    <row r="48" spans="2:18" x14ac:dyDescent="0.2">
      <c r="B48" s="61" t="s">
        <v>210</v>
      </c>
      <c r="C48" s="157">
        <f>C47/C44</f>
        <v>3.4069953057505063E-2</v>
      </c>
      <c r="D48" s="157"/>
      <c r="E48" s="157"/>
      <c r="F48" s="157">
        <f t="shared" ref="F48:I48" si="34">F47/F44</f>
        <v>1.0588850252633016E-2</v>
      </c>
      <c r="G48" s="157">
        <f t="shared" si="34"/>
        <v>0.14032258888311966</v>
      </c>
      <c r="H48" s="157">
        <f t="shared" si="34"/>
        <v>0.11889932833130157</v>
      </c>
      <c r="I48" s="158">
        <f t="shared" si="34"/>
        <v>3.6392146547342158E-2</v>
      </c>
      <c r="K48" s="61" t="s">
        <v>210</v>
      </c>
      <c r="L48" s="157">
        <f>L47/L44</f>
        <v>0.10789643178935937</v>
      </c>
      <c r="M48" s="157">
        <f t="shared" ref="M48:P48" si="35">M47/M44</f>
        <v>-4.8262044756855263E-2</v>
      </c>
      <c r="N48" s="157">
        <f t="shared" si="35"/>
        <v>-0.39097542634354127</v>
      </c>
      <c r="O48" s="157">
        <f t="shared" si="35"/>
        <v>0.41596424885474109</v>
      </c>
      <c r="P48" s="158">
        <f t="shared" si="35"/>
        <v>5.5785802273441876E-2</v>
      </c>
    </row>
    <row r="49" spans="2:18" x14ac:dyDescent="0.2">
      <c r="B49" s="61" t="s">
        <v>211</v>
      </c>
      <c r="C49" s="156">
        <f>'Aramex Courier'!F15</f>
        <v>26555.424372156322</v>
      </c>
      <c r="D49" s="156"/>
      <c r="E49" s="156"/>
      <c r="F49" s="156">
        <f>'Aramex Freight'!F14</f>
        <v>3126.469187774383</v>
      </c>
      <c r="G49" s="156">
        <f>'Aramex Logistics'!F14</f>
        <v>10401.732400954201</v>
      </c>
      <c r="H49" s="156">
        <f>2438.17697022321*('2024 IR Data Book'!$A$5)</f>
        <v>663.88307199891358</v>
      </c>
      <c r="I49" s="122">
        <f>C49+F49+G49+H49</f>
        <v>40747.50903288382</v>
      </c>
      <c r="K49" s="61" t="s">
        <v>211</v>
      </c>
      <c r="L49" s="156">
        <f>185007.379428629*('2024 IR Data Book'!$A$5)</f>
        <v>50375.042048856121</v>
      </c>
      <c r="M49" s="156">
        <f>1935.44186111497*('2024 IR Data Book'!$A$5)</f>
        <v>526.99500656618466</v>
      </c>
      <c r="N49" s="156">
        <f>-18868.2903895795*('2024 IR Data Book'!$A$5)</f>
        <v>-5137.5838342262969</v>
      </c>
      <c r="O49" s="156">
        <f>11528.0646359834*('2024 IR Data Book'!$A$5)</f>
        <v>3138.9382551825411</v>
      </c>
      <c r="P49" s="122">
        <f>SUM(L49:O49)</f>
        <v>48903.391476378551</v>
      </c>
      <c r="R49" s="28"/>
    </row>
    <row r="50" spans="2:18" x14ac:dyDescent="0.2">
      <c r="B50" s="123" t="s">
        <v>212</v>
      </c>
      <c r="C50" s="159">
        <f>C49/C44</f>
        <v>8.8891323730337105E-2</v>
      </c>
      <c r="D50" s="159"/>
      <c r="E50" s="159"/>
      <c r="F50" s="159">
        <f t="shared" ref="F50:I50" si="36">F49/F44</f>
        <v>2.9390774027216477E-2</v>
      </c>
      <c r="G50" s="159">
        <f t="shared" si="36"/>
        <v>0.33801642752704331</v>
      </c>
      <c r="H50" s="159">
        <f t="shared" si="36"/>
        <v>0.22790302868552337</v>
      </c>
      <c r="I50" s="159">
        <f t="shared" si="36"/>
        <v>9.2860792903184358E-2</v>
      </c>
      <c r="K50" s="123" t="s">
        <v>212</v>
      </c>
      <c r="L50" s="159">
        <f t="shared" ref="L50:P50" si="37">L49/L44</f>
        <v>0.15637665270972573</v>
      </c>
      <c r="M50" s="159">
        <f t="shared" si="37"/>
        <v>6.9160655801437819E-3</v>
      </c>
      <c r="N50" s="159">
        <f t="shared" si="37"/>
        <v>-0.18726298115041851</v>
      </c>
      <c r="O50" s="159">
        <f t="shared" si="37"/>
        <v>0.33268091765337449</v>
      </c>
      <c r="P50" s="159">
        <f t="shared" si="37"/>
        <v>0.1123677999481467</v>
      </c>
    </row>
    <row r="53" spans="2:18" x14ac:dyDescent="0.2">
      <c r="B53" s="120"/>
      <c r="C53" s="270" t="s">
        <v>27</v>
      </c>
      <c r="D53" s="270"/>
      <c r="E53" s="270"/>
      <c r="F53" s="270"/>
      <c r="G53" s="270"/>
      <c r="H53" s="270"/>
      <c r="I53" s="270"/>
    </row>
    <row r="54" spans="2:18" x14ac:dyDescent="0.2">
      <c r="B54" s="120"/>
      <c r="C54" s="132" t="s">
        <v>262</v>
      </c>
      <c r="D54" s="132" t="s">
        <v>263</v>
      </c>
      <c r="E54" s="132" t="s">
        <v>238</v>
      </c>
      <c r="F54" s="132" t="s">
        <v>264</v>
      </c>
      <c r="G54" s="132" t="s">
        <v>265</v>
      </c>
      <c r="H54" s="132" t="s">
        <v>266</v>
      </c>
      <c r="I54" s="132" t="s">
        <v>253</v>
      </c>
      <c r="K54" s="28"/>
    </row>
    <row r="55" spans="2:18" x14ac:dyDescent="0.2">
      <c r="B55" s="59" t="s">
        <v>267</v>
      </c>
      <c r="C55" s="121">
        <f>'Aramex Courier'!H7</f>
        <v>254756.00010891465</v>
      </c>
      <c r="D55" s="121">
        <f>'Aramex Express+Parcel Forwardin'!H7</f>
        <v>152201.99999999997</v>
      </c>
      <c r="E55" s="121">
        <f>'Aramex Domestic'!H7</f>
        <v>102554.20752683167</v>
      </c>
      <c r="F55" s="121">
        <f>'Aramex Freight'!H7</f>
        <v>106500.2088246335</v>
      </c>
      <c r="G55" s="121">
        <f>'Aramex Logistics'!H7</f>
        <v>30524.76710459511</v>
      </c>
      <c r="H55" s="121">
        <f>10076.8732277094*('2024 IR Data Book'!$A$5)</f>
        <v>2743.7981886699886</v>
      </c>
      <c r="I55" s="121">
        <f>C55+F55+G55+H55</f>
        <v>394524.77422681329</v>
      </c>
      <c r="J55" s="210">
        <f>C55-D55-E55</f>
        <v>-0.20741791698674206</v>
      </c>
      <c r="K55" s="28"/>
    </row>
    <row r="56" spans="2:18" x14ac:dyDescent="0.2">
      <c r="B56" s="60" t="s">
        <v>206</v>
      </c>
      <c r="C56" s="122">
        <f>'Aramex Courier'!H10</f>
        <v>73666.756382887863</v>
      </c>
      <c r="D56" s="122">
        <f>'Aramex Express+Parcel Forwardin'!H10</f>
        <v>48407.881802437754</v>
      </c>
      <c r="E56" s="122">
        <f>'Aramex Domestic'!H9</f>
        <v>25259.08199836711</v>
      </c>
      <c r="F56" s="122">
        <f>'Aramex Freight'!H9</f>
        <v>14173.410931479622</v>
      </c>
      <c r="G56" s="122">
        <f>'Aramex Logistics'!H9</f>
        <v>3586.3676409036379</v>
      </c>
      <c r="H56" s="122">
        <f>8326.98518949769*('2024 IR Data Book'!$A$5)</f>
        <v>2267.3270134231034</v>
      </c>
      <c r="I56" s="122">
        <f>C56+F56+G56+H56</f>
        <v>93693.861968694226</v>
      </c>
      <c r="J56" s="210">
        <f t="shared" ref="J56:J57" si="38">C56-D56-E56</f>
        <v>-0.20741791700129397</v>
      </c>
    </row>
    <row r="57" spans="2:18" x14ac:dyDescent="0.2">
      <c r="B57" s="61" t="s">
        <v>207</v>
      </c>
      <c r="C57" s="157">
        <f>C56/C55</f>
        <v>0.28916593270185376</v>
      </c>
      <c r="D57" s="157">
        <f t="shared" ref="D57:E57" si="39">D56/D55</f>
        <v>0.31805023457272419</v>
      </c>
      <c r="E57" s="157">
        <f t="shared" si="39"/>
        <v>0.24629981165578677</v>
      </c>
      <c r="F57" s="157">
        <f t="shared" ref="F57:I57" si="40">F56/F55</f>
        <v>0.13308340976887653</v>
      </c>
      <c r="G57" s="157">
        <f t="shared" si="40"/>
        <v>0.11749041781759431</v>
      </c>
      <c r="H57" s="157">
        <f t="shared" si="40"/>
        <v>0.82634612953154296</v>
      </c>
      <c r="I57" s="158">
        <f t="shared" si="40"/>
        <v>0.23748536996774094</v>
      </c>
      <c r="J57" s="210">
        <f t="shared" si="38"/>
        <v>-0.27518411352665717</v>
      </c>
    </row>
    <row r="58" spans="2:18" x14ac:dyDescent="0.2">
      <c r="B58" s="61" t="s">
        <v>268</v>
      </c>
      <c r="C58" s="122">
        <f>'Aramex Courier'!H13</f>
        <v>13947.030447567116</v>
      </c>
      <c r="D58" s="122"/>
      <c r="E58" s="122"/>
      <c r="F58" s="122">
        <f>'Aramex Freight'!H12</f>
        <v>4022.4764291354622</v>
      </c>
      <c r="G58" s="122">
        <f>'Aramex Logistics'!H12</f>
        <v>1577.1532746531939</v>
      </c>
      <c r="H58" s="122">
        <f>3217.0725461928*('2024 IR Data Book'!$A$5)</f>
        <v>875.96594951609211</v>
      </c>
      <c r="I58" s="122">
        <f>C58+F58+G58+H58</f>
        <v>20422.626100871868</v>
      </c>
      <c r="J58" s="210"/>
    </row>
    <row r="59" spans="2:18" x14ac:dyDescent="0.2">
      <c r="B59" s="61" t="s">
        <v>210</v>
      </c>
      <c r="C59" s="157">
        <f>C58/C55</f>
        <v>5.4746622028939089E-2</v>
      </c>
      <c r="D59" s="157"/>
      <c r="E59" s="157"/>
      <c r="F59" s="157">
        <f t="shared" ref="F59:I59" si="41">F58/F55</f>
        <v>3.7769657670427621E-2</v>
      </c>
      <c r="G59" s="157">
        <f t="shared" si="41"/>
        <v>5.1667987154462969E-2</v>
      </c>
      <c r="H59" s="157">
        <f t="shared" si="41"/>
        <v>0.31925305335255078</v>
      </c>
      <c r="I59" s="158">
        <f t="shared" si="41"/>
        <v>5.1765129682656758E-2</v>
      </c>
      <c r="J59" s="210"/>
    </row>
    <row r="60" spans="2:18" x14ac:dyDescent="0.2">
      <c r="B60" s="61" t="s">
        <v>211</v>
      </c>
      <c r="C60" s="156">
        <f>'Aramex Courier'!H15</f>
        <v>30968.436576628548</v>
      </c>
      <c r="D60" s="156"/>
      <c r="E60" s="156"/>
      <c r="F60" s="156">
        <f>'Aramex Freight'!H14</f>
        <v>5897.496353595001</v>
      </c>
      <c r="G60" s="156">
        <f>'Aramex Logistics'!H14</f>
        <v>7831.5098127559768</v>
      </c>
      <c r="H60" s="156">
        <f>4514.08635286607*('2024 IR Data Book'!$A$5)</f>
        <v>1229.1255113178865</v>
      </c>
      <c r="I60" s="122">
        <f>C60+F60+G60+H60</f>
        <v>45926.56825429741</v>
      </c>
      <c r="J60" s="210"/>
    </row>
    <row r="61" spans="2:18" x14ac:dyDescent="0.2">
      <c r="B61" s="123" t="s">
        <v>212</v>
      </c>
      <c r="C61" s="159">
        <f>C60/C55</f>
        <v>0.12156116661978032</v>
      </c>
      <c r="D61" s="159"/>
      <c r="E61" s="159"/>
      <c r="F61" s="159">
        <f t="shared" ref="F61:I61" si="42">F60/F55</f>
        <v>5.537544403603939E-2</v>
      </c>
      <c r="G61" s="159">
        <f t="shared" si="42"/>
        <v>0.25656247551114136</v>
      </c>
      <c r="H61" s="159">
        <f t="shared" si="42"/>
        <v>0.44796498386555356</v>
      </c>
      <c r="I61" s="159">
        <f t="shared" si="42"/>
        <v>0.11640984610992797</v>
      </c>
      <c r="J61" s="210"/>
    </row>
    <row r="65" spans="2:12" x14ac:dyDescent="0.2">
      <c r="B65" s="120"/>
      <c r="C65" s="270" t="s">
        <v>28</v>
      </c>
      <c r="D65" s="270"/>
      <c r="E65" s="270"/>
      <c r="F65" s="270"/>
      <c r="G65" s="270"/>
      <c r="H65" s="270"/>
      <c r="I65" s="270"/>
    </row>
    <row r="66" spans="2:12" x14ac:dyDescent="0.2">
      <c r="B66" s="120"/>
      <c r="C66" s="132" t="s">
        <v>262</v>
      </c>
      <c r="D66" s="132" t="s">
        <v>263</v>
      </c>
      <c r="E66" s="132" t="s">
        <v>238</v>
      </c>
      <c r="F66" s="132" t="s">
        <v>264</v>
      </c>
      <c r="G66" s="132" t="s">
        <v>265</v>
      </c>
      <c r="H66" s="132" t="s">
        <v>266</v>
      </c>
      <c r="I66" s="132" t="s">
        <v>253</v>
      </c>
      <c r="L66" s="28"/>
    </row>
    <row r="67" spans="2:12" x14ac:dyDescent="0.2">
      <c r="B67" s="59" t="s">
        <v>267</v>
      </c>
      <c r="C67" s="121">
        <f>'Aramex Courier'!I7</f>
        <v>261647.4102343944</v>
      </c>
      <c r="D67" s="121">
        <f>'Aramex Express+Parcel Forwardin'!I7</f>
        <v>160222.25547525755</v>
      </c>
      <c r="E67" s="121">
        <f>'Aramex Domestic'!I7</f>
        <v>101425.15475913658</v>
      </c>
      <c r="F67" s="121">
        <f>'Aramex Freight'!I7</f>
        <v>117739.49237633991</v>
      </c>
      <c r="G67" s="121">
        <f>'Aramex Logistics'!I7</f>
        <v>30429.710337881879</v>
      </c>
      <c r="H67" s="121">
        <f>11496.2580635688*('2024 IR Data Book'!$A$5)</f>
        <v>3130.2777497056031</v>
      </c>
      <c r="I67" s="121">
        <f>C67+F67+G67+H67</f>
        <v>412946.8906983218</v>
      </c>
      <c r="J67" s="210">
        <f>C67-D67-E67</f>
        <v>2.6193447411060333E-10</v>
      </c>
    </row>
    <row r="68" spans="2:12" x14ac:dyDescent="0.2">
      <c r="B68" s="60" t="s">
        <v>206</v>
      </c>
      <c r="C68" s="122">
        <f>'Aramex Courier'!I10</f>
        <v>76986.030846258742</v>
      </c>
      <c r="D68" s="122">
        <f>'Aramex Express+Parcel Forwardin'!I10</f>
        <v>51654.978987421695</v>
      </c>
      <c r="E68" s="122">
        <f>'Aramex Domestic'!I9</f>
        <v>25331.051858836523</v>
      </c>
      <c r="F68" s="122">
        <f>'Aramex Freight'!I9</f>
        <v>15765.569633008228</v>
      </c>
      <c r="G68" s="122">
        <f>'Aramex Logistics'!I9</f>
        <v>7745.068542489571</v>
      </c>
      <c r="H68" s="122">
        <f>9538.70904976758*('2024 IR Data Book'!$A$5)</f>
        <v>2597.2632602972226</v>
      </c>
      <c r="I68" s="122">
        <f>C68+F68+G68+H68</f>
        <v>103093.93228205375</v>
      </c>
      <c r="J68" s="210">
        <f t="shared" ref="J68:J69" si="43">C68-D68-E68</f>
        <v>5.2386894822120667E-10</v>
      </c>
    </row>
    <row r="69" spans="2:12" x14ac:dyDescent="0.2">
      <c r="B69" s="61" t="s">
        <v>207</v>
      </c>
      <c r="C69" s="157">
        <f>C68/C67</f>
        <v>0.29423578386383231</v>
      </c>
      <c r="D69" s="157">
        <f t="shared" ref="D69:E69" si="44">D68/D67</f>
        <v>0.32239577975107558</v>
      </c>
      <c r="E69" s="157">
        <f t="shared" si="44"/>
        <v>0.24975117779206199</v>
      </c>
      <c r="F69" s="157">
        <f t="shared" ref="F69" si="45">F68/F67</f>
        <v>0.13390213695346595</v>
      </c>
      <c r="G69" s="157">
        <f t="shared" ref="G69" si="46">G68/G67</f>
        <v>0.25452324246569485</v>
      </c>
      <c r="H69" s="157">
        <f t="shared" ref="H69:I69" si="47">H68/H67</f>
        <v>0.8297229408928618</v>
      </c>
      <c r="I69" s="158">
        <f t="shared" si="47"/>
        <v>0.24965421608506305</v>
      </c>
      <c r="J69" s="210">
        <f t="shared" si="43"/>
        <v>-0.27791117367930529</v>
      </c>
    </row>
    <row r="70" spans="2:12" x14ac:dyDescent="0.2">
      <c r="B70" s="61" t="s">
        <v>268</v>
      </c>
      <c r="C70" s="122">
        <f>'Aramex Courier'!I13</f>
        <v>11060.689035005471</v>
      </c>
      <c r="D70" s="122"/>
      <c r="E70" s="122"/>
      <c r="F70" s="122">
        <f>'Aramex Freight'!I12</f>
        <v>4679.7257794804218</v>
      </c>
      <c r="G70" s="122">
        <f>'Aramex Logistics'!I12</f>
        <v>1410.4022335018676</v>
      </c>
      <c r="H70" s="122">
        <f>585.358921985922*('2024 IR Data Book'!$A$5)</f>
        <v>159.38542775851496</v>
      </c>
      <c r="I70" s="122">
        <f>C70+F70+G70+H70</f>
        <v>17310.202475746275</v>
      </c>
      <c r="J70" s="210"/>
    </row>
    <row r="71" spans="2:12" x14ac:dyDescent="0.2">
      <c r="B71" s="61" t="s">
        <v>210</v>
      </c>
      <c r="C71" s="157">
        <f>C70/C67</f>
        <v>4.2273260129335334E-2</v>
      </c>
      <c r="D71" s="157"/>
      <c r="E71" s="157"/>
      <c r="F71" s="157">
        <f t="shared" ref="F71" si="48">F70/F67</f>
        <v>3.9746440935232247E-2</v>
      </c>
      <c r="G71" s="157">
        <f t="shared" ref="G71" si="49">G70/G67</f>
        <v>4.634951229706781E-2</v>
      </c>
      <c r="H71" s="157">
        <f t="shared" ref="H71:I71" si="50">H70/H67</f>
        <v>5.0917343604255205E-2</v>
      </c>
      <c r="I71" s="158">
        <f t="shared" si="50"/>
        <v>4.1918713678830523E-2</v>
      </c>
      <c r="J71" s="210"/>
    </row>
    <row r="72" spans="2:12" x14ac:dyDescent="0.2">
      <c r="B72" s="61" t="s">
        <v>211</v>
      </c>
      <c r="C72" s="156">
        <f>'Aramex Courier'!I15</f>
        <v>27790.901241831125</v>
      </c>
      <c r="D72" s="156"/>
      <c r="E72" s="156"/>
      <c r="F72" s="156">
        <f>'Aramex Freight'!I14</f>
        <v>6730.2665151346446</v>
      </c>
      <c r="G72" s="156">
        <f>'Aramex Logistics'!I14</f>
        <v>7345.0522191845284</v>
      </c>
      <c r="H72" s="156">
        <f>1777.07850807516*('2024 IR Data Book'!$A$5)</f>
        <v>483.87477756226104</v>
      </c>
      <c r="I72" s="122">
        <f>C72+F72+G72+H72</f>
        <v>42350.094753712561</v>
      </c>
      <c r="J72" s="210"/>
    </row>
    <row r="73" spans="2:12" x14ac:dyDescent="0.2">
      <c r="B73" s="123" t="s">
        <v>212</v>
      </c>
      <c r="C73" s="159">
        <f>C72/C67</f>
        <v>0.1062150824154342</v>
      </c>
      <c r="D73" s="159"/>
      <c r="E73" s="159"/>
      <c r="F73" s="159">
        <f t="shared" ref="F73" si="51">F72/F67</f>
        <v>5.7162353763358938E-2</v>
      </c>
      <c r="G73" s="159">
        <f t="shared" ref="G73" si="52">G72/G67</f>
        <v>0.24137765813829287</v>
      </c>
      <c r="H73" s="159">
        <f t="shared" ref="H73:I73" si="53">H72/H67</f>
        <v>0.15457886368318868</v>
      </c>
      <c r="I73" s="159">
        <f t="shared" si="53"/>
        <v>0.10255579036349109</v>
      </c>
      <c r="J73" s="210"/>
    </row>
    <row r="77" spans="2:12" x14ac:dyDescent="0.2">
      <c r="B77" s="120"/>
      <c r="C77" s="270" t="s">
        <v>29</v>
      </c>
      <c r="D77" s="270"/>
      <c r="E77" s="270"/>
      <c r="F77" s="270"/>
      <c r="G77" s="270"/>
      <c r="H77" s="270"/>
      <c r="I77" s="270"/>
    </row>
    <row r="78" spans="2:12" x14ac:dyDescent="0.2">
      <c r="B78" s="120"/>
      <c r="C78" s="132" t="s">
        <v>262</v>
      </c>
      <c r="D78" s="132" t="s">
        <v>263</v>
      </c>
      <c r="E78" s="132" t="s">
        <v>238</v>
      </c>
      <c r="F78" s="132" t="s">
        <v>264</v>
      </c>
      <c r="G78" s="132" t="s">
        <v>265</v>
      </c>
      <c r="H78" s="132" t="s">
        <v>266</v>
      </c>
      <c r="I78" s="132" t="s">
        <v>253</v>
      </c>
    </row>
    <row r="79" spans="2:12" x14ac:dyDescent="0.2">
      <c r="B79" s="59" t="s">
        <v>267</v>
      </c>
      <c r="C79" s="121">
        <f>'Aramex Courier'!J7</f>
        <v>235186.8434006428</v>
      </c>
      <c r="D79" s="121">
        <f>'Aramex Express+Parcel Forwardin'!J7</f>
        <v>134489.68551409029</v>
      </c>
      <c r="E79" s="121">
        <f>'Aramex Domestic'!J7</f>
        <v>100696.95046863565</v>
      </c>
      <c r="F79" s="121">
        <f>'Aramex Freight'!J7</f>
        <v>119678.13903452294</v>
      </c>
      <c r="G79" s="121">
        <f>'Aramex Logistics'!J7</f>
        <v>30080.736786024889</v>
      </c>
      <c r="H79" s="121">
        <f>(-36789.3525840966+49288.2873002326)*(('2024 IR Data Book'!$A$5))</f>
        <v>3403.2932299014315</v>
      </c>
      <c r="I79" s="121">
        <f>C79+F79+G79+H79</f>
        <v>388349.01245109201</v>
      </c>
      <c r="J79" s="210">
        <f>C79-D79-E79</f>
        <v>0.20741791685577482</v>
      </c>
      <c r="K79" s="28"/>
    </row>
    <row r="80" spans="2:12" x14ac:dyDescent="0.2">
      <c r="B80" s="60" t="s">
        <v>206</v>
      </c>
      <c r="C80" s="122">
        <f>'Aramex Courier'!J10</f>
        <v>65550.871338614874</v>
      </c>
      <c r="D80" s="122">
        <f>'Aramex Express+Parcel Forwardin'!J10</f>
        <v>41343.722303339033</v>
      </c>
      <c r="E80" s="122">
        <f>'Aramex Domestic'!J9</f>
        <v>24206.944837359159</v>
      </c>
      <c r="F80" s="122">
        <f>'Aramex Freight'!J9</f>
        <v>16550.216060702165</v>
      </c>
      <c r="G80" s="122">
        <f>'Aramex Logistics'!J9</f>
        <v>2370.7371807549607</v>
      </c>
      <c r="H80" s="122">
        <f>(-18434.7593072861--29030.7812005074)*(('2024 IR Data Book'!$A$5))</f>
        <v>2885.1554466103858</v>
      </c>
      <c r="I80" s="122">
        <f>C80+F80+G80+H80</f>
        <v>87356.980026682388</v>
      </c>
      <c r="J80" s="210">
        <f t="shared" ref="J80:J81" si="54">C80-D80-E80</f>
        <v>0.20419791668246035</v>
      </c>
      <c r="K80" s="28"/>
    </row>
    <row r="81" spans="2:17" x14ac:dyDescent="0.2">
      <c r="B81" s="61" t="s">
        <v>207</v>
      </c>
      <c r="C81" s="157">
        <f>C80/C79</f>
        <v>0.27871827518407738</v>
      </c>
      <c r="D81" s="157">
        <f t="shared" ref="D81:E81" si="55">D80/D79</f>
        <v>0.30741184459835408</v>
      </c>
      <c r="E81" s="157">
        <f t="shared" si="55"/>
        <v>0.24039402111684563</v>
      </c>
      <c r="F81" s="157">
        <f t="shared" ref="F81:I81" si="56">F80/F79</f>
        <v>0.13828938345981473</v>
      </c>
      <c r="G81" s="157">
        <f t="shared" si="56"/>
        <v>7.8812470506253479E-2</v>
      </c>
      <c r="H81" s="157">
        <f t="shared" si="56"/>
        <v>0.84775399935019635</v>
      </c>
      <c r="I81" s="158">
        <f t="shared" si="56"/>
        <v>0.22494451440811625</v>
      </c>
      <c r="J81" s="210">
        <f t="shared" si="54"/>
        <v>-0.2690875905311223</v>
      </c>
      <c r="K81" s="28"/>
    </row>
    <row r="82" spans="2:17" x14ac:dyDescent="0.2">
      <c r="B82" s="61" t="s">
        <v>268</v>
      </c>
      <c r="C82" s="122">
        <f>'Aramex Courier'!J13</f>
        <v>5679.6618844387722</v>
      </c>
      <c r="D82" s="122"/>
      <c r="E82" s="122"/>
      <c r="F82" s="122">
        <f>'Aramex Freight'!J12</f>
        <v>6417.0752914594959</v>
      </c>
      <c r="G82" s="122">
        <f>'Aramex Logistics'!J12</f>
        <v>-1664.9203265532815</v>
      </c>
      <c r="H82" s="122">
        <f>(13315.9612230839-723.780866769583)*(('2024 IR Data Book'!$A$5))</f>
        <v>3428.6827741421107</v>
      </c>
      <c r="I82" s="122">
        <f>C82+F82+G82+H82</f>
        <v>13860.499623487098</v>
      </c>
      <c r="J82" s="210"/>
      <c r="K82" s="28"/>
      <c r="L82" s="89"/>
    </row>
    <row r="83" spans="2:17" x14ac:dyDescent="0.2">
      <c r="B83" s="61" t="s">
        <v>210</v>
      </c>
      <c r="C83" s="157">
        <f>C82/C79</f>
        <v>2.4149573174735033E-2</v>
      </c>
      <c r="D83" s="157"/>
      <c r="E83" s="157"/>
      <c r="F83" s="157">
        <f t="shared" ref="F83:I83" si="57">F82/F79</f>
        <v>5.3619444146005606E-2</v>
      </c>
      <c r="G83" s="157">
        <f t="shared" si="57"/>
        <v>-5.5348389183298909E-2</v>
      </c>
      <c r="H83" s="157">
        <f t="shared" si="57"/>
        <v>1.0074602870001343</v>
      </c>
      <c r="I83" s="158">
        <f t="shared" si="57"/>
        <v>3.5690832676528728E-2</v>
      </c>
      <c r="J83" s="210"/>
      <c r="K83" s="28"/>
      <c r="L83" s="89"/>
    </row>
    <row r="84" spans="2:17" x14ac:dyDescent="0.2">
      <c r="B84" s="61" t="s">
        <v>211</v>
      </c>
      <c r="C84" s="156">
        <f>'Aramex Courier'!J15</f>
        <v>22882.887992027227</v>
      </c>
      <c r="D84" s="156"/>
      <c r="E84" s="156"/>
      <c r="F84" s="156">
        <f>'Aramex Freight'!J14</f>
        <v>8521.1249021683379</v>
      </c>
      <c r="G84" s="156">
        <f>'Aramex Logistics'!J14</f>
        <v>4105.4983943098587</v>
      </c>
      <c r="H84" s="156">
        <f>(5420.97088348717--5521.02950752155)*(('2024 IR Data Book'!$A$5))</f>
        <v>2979.360777380798</v>
      </c>
      <c r="I84" s="122">
        <f>C84+F84+G84+H84</f>
        <v>38488.872065886215</v>
      </c>
      <c r="J84" s="210"/>
      <c r="K84" s="28"/>
      <c r="L84" s="89"/>
    </row>
    <row r="85" spans="2:17" x14ac:dyDescent="0.2">
      <c r="B85" s="123" t="s">
        <v>212</v>
      </c>
      <c r="C85" s="159">
        <f>C84/C79</f>
        <v>9.7296633013803549E-2</v>
      </c>
      <c r="D85" s="159"/>
      <c r="E85" s="159"/>
      <c r="F85" s="159">
        <f t="shared" ref="F85:I85" si="58">F84/F79</f>
        <v>7.1200345952156657E-2</v>
      </c>
      <c r="G85" s="159">
        <f t="shared" si="58"/>
        <v>0.1364826408180673</v>
      </c>
      <c r="H85" s="159">
        <f t="shared" si="58"/>
        <v>0.87543463819222189</v>
      </c>
      <c r="I85" s="159">
        <f t="shared" si="58"/>
        <v>9.9108973711458673E-2</v>
      </c>
      <c r="J85" s="210"/>
      <c r="K85" s="28"/>
    </row>
    <row r="87" spans="2:17" x14ac:dyDescent="0.2">
      <c r="C87" s="89"/>
      <c r="D87" s="89"/>
      <c r="E87" s="89"/>
      <c r="F87" s="89"/>
      <c r="G87" s="89"/>
      <c r="H87" s="89"/>
    </row>
    <row r="88" spans="2:17" x14ac:dyDescent="0.2">
      <c r="C88" s="89"/>
      <c r="D88" s="89"/>
      <c r="E88" s="89"/>
      <c r="F88" s="89"/>
      <c r="G88" s="89"/>
      <c r="H88" s="89"/>
    </row>
    <row r="89" spans="2:17" x14ac:dyDescent="0.2">
      <c r="B89" s="120"/>
      <c r="C89" s="270" t="s">
        <v>30</v>
      </c>
      <c r="D89" s="270"/>
      <c r="E89" s="270"/>
      <c r="F89" s="270"/>
      <c r="G89" s="270"/>
      <c r="H89" s="270"/>
      <c r="I89" s="270"/>
    </row>
    <row r="90" spans="2:17" x14ac:dyDescent="0.2">
      <c r="B90" s="120"/>
      <c r="C90" s="132" t="s">
        <v>262</v>
      </c>
      <c r="D90" s="132" t="s">
        <v>263</v>
      </c>
      <c r="E90" s="132" t="s">
        <v>238</v>
      </c>
      <c r="F90" s="132" t="s">
        <v>264</v>
      </c>
      <c r="G90" s="132" t="s">
        <v>265</v>
      </c>
      <c r="H90" s="132" t="s">
        <v>266</v>
      </c>
      <c r="I90" s="132" t="s">
        <v>253</v>
      </c>
    </row>
    <row r="91" spans="2:17" x14ac:dyDescent="0.2">
      <c r="B91" s="59" t="s">
        <v>267</v>
      </c>
      <c r="C91" s="121">
        <f>'Aramex Courier'!K7</f>
        <v>268277.88530551043</v>
      </c>
      <c r="D91" s="121">
        <f>'Aramex Express+Parcel Forwardin'!K7</f>
        <v>165427.47028181274</v>
      </c>
      <c r="E91" s="121">
        <f>'Aramex Domestic'!K7</f>
        <v>102850.41502369809</v>
      </c>
      <c r="F91" s="121">
        <f>'Aramex Freight'!K7</f>
        <v>114715.16216186176</v>
      </c>
      <c r="G91" s="121">
        <f>'Aramex Logistics'!K7</f>
        <v>31441.315897898308</v>
      </c>
      <c r="H91" s="121">
        <f>12182.2109990966*(('2024 IR Data Book'!$A$5))</f>
        <v>3317.0535857693731</v>
      </c>
      <c r="I91" s="121">
        <f>C91+F91+G91+H91</f>
        <v>417751.41695103986</v>
      </c>
      <c r="J91" s="89">
        <f>C91-D91-E91</f>
        <v>-4.0745362639427185E-10</v>
      </c>
      <c r="K91" s="89">
        <f>I91-'Group Profit &amp; Loss Stm'!K8</f>
        <v>-3.257729992037639E-2</v>
      </c>
      <c r="L91" s="28"/>
      <c r="M91" s="28"/>
      <c r="N91" s="28"/>
      <c r="O91" s="28"/>
      <c r="P91" s="28"/>
      <c r="Q91" s="28"/>
    </row>
    <row r="92" spans="2:17" x14ac:dyDescent="0.2">
      <c r="B92" s="60" t="s">
        <v>206</v>
      </c>
      <c r="C92" s="122">
        <f>'Aramex Courier'!K10</f>
        <v>78851.009076075221</v>
      </c>
      <c r="D92" s="122">
        <f>'Aramex Express+Parcel Forwardin'!K10</f>
        <v>52823.273074052137</v>
      </c>
      <c r="E92" s="122">
        <f>'Aramex Domestic'!K9</f>
        <v>26027.736002023565</v>
      </c>
      <c r="F92" s="122">
        <f>'Aramex Freight'!K9</f>
        <v>16869.905677940813</v>
      </c>
      <c r="G92" s="122">
        <f>'Aramex Logistics'!K9</f>
        <v>5092.7962737852613</v>
      </c>
      <c r="H92" s="122">
        <f>10505.6098040025*(('2024 IR Data Book'!$A$5))</f>
        <v>2860.5374405060447</v>
      </c>
      <c r="I92" s="122">
        <f>C92+F92+G92+H92</f>
        <v>103674.24846830734</v>
      </c>
      <c r="J92" s="89">
        <f t="shared" ref="J92:J93" si="59">C92-D92-E92</f>
        <v>-4.8021320253610611E-10</v>
      </c>
      <c r="K92" s="89">
        <f>I92-'Group Profit &amp; Loss Stm'!K10</f>
        <v>3.7603579083224759E-2</v>
      </c>
      <c r="L92" s="28"/>
      <c r="M92" s="28"/>
      <c r="N92" s="28"/>
      <c r="O92" s="28"/>
      <c r="P92" s="28"/>
      <c r="Q92" s="28"/>
    </row>
    <row r="93" spans="2:17" x14ac:dyDescent="0.2">
      <c r="B93" s="61" t="s">
        <v>207</v>
      </c>
      <c r="C93" s="157">
        <f>C92/C91</f>
        <v>0.29391542648504548</v>
      </c>
      <c r="D93" s="157">
        <f t="shared" ref="D93:I93" si="60">D92/D91</f>
        <v>0.31931379343506516</v>
      </c>
      <c r="E93" s="157">
        <f t="shared" si="60"/>
        <v>0.25306398613973924</v>
      </c>
      <c r="F93" s="157">
        <f t="shared" si="60"/>
        <v>0.14705907536562229</v>
      </c>
      <c r="G93" s="157">
        <f t="shared" si="60"/>
        <v>0.16197783484391914</v>
      </c>
      <c r="H93" s="157">
        <f t="shared" si="60"/>
        <v>0.8623729965587994</v>
      </c>
      <c r="I93" s="158">
        <f t="shared" si="60"/>
        <v>0.24817210489667324</v>
      </c>
      <c r="J93" s="89">
        <f t="shared" si="59"/>
        <v>-0.27846235308975892</v>
      </c>
      <c r="K93" s="89"/>
    </row>
    <row r="94" spans="2:17" x14ac:dyDescent="0.2">
      <c r="B94" s="61" t="s">
        <v>268</v>
      </c>
      <c r="C94" s="122">
        <f>'Aramex Courier'!K13</f>
        <v>8111.5876495654538</v>
      </c>
      <c r="D94" s="122"/>
      <c r="E94" s="122"/>
      <c r="F94" s="122">
        <f>'Aramex Freight'!K12</f>
        <v>4447.6104226743082</v>
      </c>
      <c r="G94" s="122">
        <f>'Aramex Logistics'!K12</f>
        <v>1168.0300364999225</v>
      </c>
      <c r="H94" s="122">
        <f>(5434)*(('2024 IR Data Book'!$A$5))</f>
        <v>1479.6057289113978</v>
      </c>
      <c r="I94" s="122">
        <f>C94+F94+G94+H94</f>
        <v>15206.833837651082</v>
      </c>
      <c r="J94" s="89"/>
      <c r="K94" s="89">
        <f>I94-'Group Profit &amp; Loss Stm'!K16</f>
        <v>0.10147119958674011</v>
      </c>
      <c r="L94" s="28"/>
      <c r="M94" s="28"/>
      <c r="N94" s="28"/>
      <c r="O94" s="28"/>
      <c r="P94" s="28"/>
      <c r="Q94" s="28"/>
    </row>
    <row r="95" spans="2:17" x14ac:dyDescent="0.2">
      <c r="B95" s="61" t="s">
        <v>210</v>
      </c>
      <c r="C95" s="157">
        <f>C94/C91</f>
        <v>3.0235767067897198E-2</v>
      </c>
      <c r="D95" s="157"/>
      <c r="E95" s="157"/>
      <c r="F95" s="157">
        <f t="shared" ref="F95:I95" si="61">F94/F91</f>
        <v>3.8770902981410442E-2</v>
      </c>
      <c r="G95" s="157">
        <f t="shared" si="61"/>
        <v>3.7149527719925975E-2</v>
      </c>
      <c r="H95" s="157">
        <f t="shared" si="61"/>
        <v>0.44606024312031456</v>
      </c>
      <c r="I95" s="158">
        <f t="shared" si="61"/>
        <v>3.6401633173714192E-2</v>
      </c>
      <c r="J95" s="89"/>
      <c r="K95" s="89"/>
    </row>
    <row r="96" spans="2:17" x14ac:dyDescent="0.2">
      <c r="B96" s="61" t="s">
        <v>211</v>
      </c>
      <c r="C96" s="156">
        <f>'Aramex Courier'!K15</f>
        <v>25215.119300340488</v>
      </c>
      <c r="D96" s="156"/>
      <c r="E96" s="156"/>
      <c r="F96" s="156">
        <f>'Aramex Freight'!K14</f>
        <v>6383.1660141470256</v>
      </c>
      <c r="G96" s="156">
        <f>'Aramex Logistics'!K14</f>
        <v>7184.9622951411029</v>
      </c>
      <c r="H96" s="156">
        <f>(6010.4246353474)*(('2024 IR Data Book'!$A$5))</f>
        <v>1636.5584695712573</v>
      </c>
      <c r="I96" s="122">
        <f>C96+F96+G96+H96</f>
        <v>40419.806079199872</v>
      </c>
      <c r="J96" s="89"/>
      <c r="K96" s="89"/>
      <c r="L96" s="28"/>
      <c r="M96" s="28"/>
      <c r="N96" s="28"/>
      <c r="O96" s="28"/>
      <c r="P96" s="28"/>
      <c r="Q96" s="28"/>
    </row>
    <row r="97" spans="2:11" x14ac:dyDescent="0.2">
      <c r="B97" s="123" t="s">
        <v>212</v>
      </c>
      <c r="C97" s="159">
        <f>C96/C91</f>
        <v>9.3988810414343052E-2</v>
      </c>
      <c r="D97" s="159"/>
      <c r="E97" s="159"/>
      <c r="F97" s="159">
        <f t="shared" ref="F97:I97" si="62">F96/F91</f>
        <v>5.5643612351264013E-2</v>
      </c>
      <c r="G97" s="159">
        <f t="shared" si="62"/>
        <v>0.22851977056155531</v>
      </c>
      <c r="H97" s="159">
        <f t="shared" si="62"/>
        <v>0.49337715754497413</v>
      </c>
      <c r="I97" s="159">
        <f t="shared" si="62"/>
        <v>9.6755640888555122E-2</v>
      </c>
      <c r="J97" s="89"/>
      <c r="K97" s="89"/>
    </row>
    <row r="98" spans="2:11" x14ac:dyDescent="0.2">
      <c r="J98" s="89"/>
      <c r="K98" s="89"/>
    </row>
    <row r="99" spans="2:11" x14ac:dyDescent="0.2">
      <c r="J99" s="89"/>
      <c r="K99" s="89"/>
    </row>
    <row r="100" spans="2:11" x14ac:dyDescent="0.2">
      <c r="J100" s="89"/>
      <c r="K100" s="89"/>
    </row>
    <row r="101" spans="2:11" x14ac:dyDescent="0.2">
      <c r="B101" s="120"/>
      <c r="C101" s="270" t="s">
        <v>32</v>
      </c>
      <c r="D101" s="270"/>
      <c r="E101" s="270"/>
      <c r="F101" s="270"/>
      <c r="G101" s="270"/>
      <c r="H101" s="270"/>
      <c r="I101" s="270"/>
      <c r="J101" s="89"/>
      <c r="K101" s="89"/>
    </row>
    <row r="102" spans="2:11" x14ac:dyDescent="0.2">
      <c r="B102" s="120"/>
      <c r="C102" s="132" t="s">
        <v>262</v>
      </c>
      <c r="D102" s="132" t="s">
        <v>263</v>
      </c>
      <c r="E102" s="132" t="s">
        <v>238</v>
      </c>
      <c r="F102" s="132" t="s">
        <v>264</v>
      </c>
      <c r="G102" s="132" t="s">
        <v>265</v>
      </c>
      <c r="H102" s="132" t="s">
        <v>266</v>
      </c>
      <c r="I102" s="132" t="s">
        <v>253</v>
      </c>
      <c r="J102" s="89"/>
      <c r="K102" s="89"/>
    </row>
    <row r="103" spans="2:11" x14ac:dyDescent="0.2">
      <c r="B103" s="59" t="s">
        <v>267</v>
      </c>
      <c r="C103" s="121">
        <f>'Aramex Courier'!$M$7</f>
        <v>252745.49928826661</v>
      </c>
      <c r="D103" s="121">
        <f>'Aramex Express+Parcel Forwardin'!M7</f>
        <v>154272.42826484697</v>
      </c>
      <c r="E103" s="121">
        <f>'Aramex Domestic'!$M$7</f>
        <v>98473.071023419645</v>
      </c>
      <c r="F103" s="121">
        <f>'Aramex Freight'!M7</f>
        <v>104948.10197270407</v>
      </c>
      <c r="G103" s="121">
        <f>'Aramex Logistics'!$M$7</f>
        <v>29146.626250633337</v>
      </c>
      <c r="H103" s="121">
        <f>(2937.12655020684*3.6726)*(('2024 IR Data Book'!$A$5))</f>
        <v>2937.12655020684</v>
      </c>
      <c r="I103" s="121">
        <f>C103+F103+G103+H103</f>
        <v>389777.35406181088</v>
      </c>
      <c r="J103" s="89">
        <f>C103-D103-E103</f>
        <v>0</v>
      </c>
      <c r="K103" s="89">
        <f>I103-'Group Profit &amp; Loss Stm'!M8</f>
        <v>8.455247146775946E-2</v>
      </c>
    </row>
    <row r="104" spans="2:11" x14ac:dyDescent="0.2">
      <c r="B104" s="60" t="s">
        <v>206</v>
      </c>
      <c r="C104" s="122">
        <f>'Aramex Courier'!$M$10</f>
        <v>73907.333756333654</v>
      </c>
      <c r="D104" s="122">
        <f>'Aramex Express+Parcel Forwardin'!$M$10</f>
        <v>50045.057552872619</v>
      </c>
      <c r="E104" s="122">
        <f>'Aramex Domestic'!$M$9</f>
        <v>23862.276213461024</v>
      </c>
      <c r="F104" s="122">
        <f>'Aramex Freight'!$M$9</f>
        <v>16650.603981870052</v>
      </c>
      <c r="G104" s="122">
        <f>'Aramex Logistics'!$M$9</f>
        <v>4411.7582863871103</v>
      </c>
      <c r="H104" s="122">
        <f>(2508.90493270667*3.6726)*(('2024 IR Data Book'!$A$5))</f>
        <v>2508.90493270667</v>
      </c>
      <c r="I104" s="122">
        <f>C104+F104+G104+H104</f>
        <v>97478.600957297487</v>
      </c>
      <c r="J104" s="89">
        <f t="shared" ref="J104:J105" si="63">C104-D104-E104</f>
        <v>-9.9999888334423304E-6</v>
      </c>
      <c r="K104" s="89">
        <f>I104-'Group Profit &amp; Loss Stm'!M10</f>
        <v>-2.4539625679608434E-2</v>
      </c>
    </row>
    <row r="105" spans="2:11" x14ac:dyDescent="0.2">
      <c r="B105" s="61" t="s">
        <v>207</v>
      </c>
      <c r="C105" s="157">
        <f>C104/C103</f>
        <v>0.29241800136681884</v>
      </c>
      <c r="D105" s="157">
        <f t="shared" ref="D105:I105" si="64">D104/D103</f>
        <v>0.32439404834516405</v>
      </c>
      <c r="E105" s="157">
        <f t="shared" si="64"/>
        <v>0.24232286010239193</v>
      </c>
      <c r="F105" s="157">
        <f t="shared" si="64"/>
        <v>0.15865559899502235</v>
      </c>
      <c r="G105" s="157">
        <f t="shared" si="64"/>
        <v>0.15136428650267011</v>
      </c>
      <c r="H105" s="157">
        <f t="shared" si="64"/>
        <v>0.85420389275701669</v>
      </c>
      <c r="I105" s="158">
        <f t="shared" si="64"/>
        <v>0.25008790259743857</v>
      </c>
      <c r="J105" s="89">
        <f t="shared" si="63"/>
        <v>-0.27429890708073712</v>
      </c>
      <c r="K105" s="89"/>
    </row>
    <row r="106" spans="2:11" x14ac:dyDescent="0.2">
      <c r="B106" s="61" t="s">
        <v>268</v>
      </c>
      <c r="C106" s="122">
        <f>'Aramex Courier'!$M$13</f>
        <v>10293.751815302508</v>
      </c>
      <c r="D106" s="122"/>
      <c r="E106" s="122"/>
      <c r="F106" s="122">
        <f>'Aramex Freight'!$M$12</f>
        <v>5588.9915889393069</v>
      </c>
      <c r="G106" s="122">
        <f>'Aramex Logistics'!$M$12</f>
        <v>585.45702294560249</v>
      </c>
      <c r="H106" s="122">
        <f>(685.610760518868*3.6726)*(('2024 IR Data Book'!$A$5))</f>
        <v>685.61076051886789</v>
      </c>
      <c r="I106" s="122">
        <f>C106+F106+G106+H106</f>
        <v>17153.811187706284</v>
      </c>
      <c r="J106" s="89"/>
      <c r="K106" s="89">
        <f>I106-'Group Profit &amp; Loss Stm'!M16</f>
        <v>-0.24860644501677598</v>
      </c>
    </row>
    <row r="107" spans="2:11" x14ac:dyDescent="0.2">
      <c r="B107" s="61" t="s">
        <v>210</v>
      </c>
      <c r="C107" s="157">
        <f>C106/C103</f>
        <v>4.0727735387137642E-2</v>
      </c>
      <c r="D107" s="157"/>
      <c r="E107" s="157"/>
      <c r="F107" s="157">
        <f t="shared" ref="F107:I107" si="65">F106/F103</f>
        <v>5.3254813416186854E-2</v>
      </c>
      <c r="G107" s="157">
        <f t="shared" si="65"/>
        <v>2.0086613727133544E-2</v>
      </c>
      <c r="H107" s="157">
        <f t="shared" si="65"/>
        <v>0.23342908410622806</v>
      </c>
      <c r="I107" s="158">
        <f t="shared" si="65"/>
        <v>4.4009255563333814E-2</v>
      </c>
      <c r="J107" s="89"/>
      <c r="K107" s="89"/>
    </row>
    <row r="108" spans="2:11" x14ac:dyDescent="0.2">
      <c r="B108" s="61" t="s">
        <v>211</v>
      </c>
      <c r="C108" s="156">
        <f>'Aramex Courier'!$M$15</f>
        <v>26533.155718210506</v>
      </c>
      <c r="D108" s="156"/>
      <c r="E108" s="156"/>
      <c r="F108" s="156">
        <f>'Aramex Freight'!$M$14</f>
        <v>7535.8901070194688</v>
      </c>
      <c r="G108" s="156">
        <f>'Aramex Logistics'!$M$14</f>
        <v>6776.8075588260899</v>
      </c>
      <c r="H108" s="156">
        <f>(858.400410326417*3.6726)*(('2024 IR Data Book'!$A$5))</f>
        <v>858.40041032641705</v>
      </c>
      <c r="I108" s="122">
        <f>C108+F108+G108+H108</f>
        <v>41704.253794382479</v>
      </c>
      <c r="J108" s="89"/>
      <c r="K108" s="89"/>
    </row>
    <row r="109" spans="2:11" x14ac:dyDescent="0.2">
      <c r="B109" s="123" t="s">
        <v>212</v>
      </c>
      <c r="C109" s="159">
        <f>C108/C103</f>
        <v>0.1049797357141001</v>
      </c>
      <c r="D109" s="159"/>
      <c r="E109" s="159"/>
      <c r="F109" s="159">
        <f t="shared" ref="F109:I109" si="66">F108/F103</f>
        <v>7.1805873239894111E-2</v>
      </c>
      <c r="G109" s="159">
        <f t="shared" si="66"/>
        <v>0.23250744359062259</v>
      </c>
      <c r="H109" s="159">
        <f t="shared" si="66"/>
        <v>0.29225857165261276</v>
      </c>
      <c r="I109" s="159">
        <f t="shared" si="66"/>
        <v>0.10699506618275473</v>
      </c>
      <c r="J109" s="89"/>
      <c r="K109" s="89"/>
    </row>
    <row r="110" spans="2:11" x14ac:dyDescent="0.2">
      <c r="J110" s="89"/>
      <c r="K110" s="89"/>
    </row>
    <row r="111" spans="2:11" x14ac:dyDescent="0.2">
      <c r="J111" s="89"/>
      <c r="K111" s="89"/>
    </row>
    <row r="112" spans="2:11" x14ac:dyDescent="0.2">
      <c r="J112" s="89"/>
      <c r="K112" s="89"/>
    </row>
    <row r="113" spans="2:11" x14ac:dyDescent="0.2">
      <c r="B113" s="120"/>
      <c r="C113" s="270" t="s">
        <v>33</v>
      </c>
      <c r="D113" s="270"/>
      <c r="E113" s="270"/>
      <c r="F113" s="270"/>
      <c r="G113" s="270"/>
      <c r="H113" s="270"/>
      <c r="I113" s="270"/>
      <c r="J113" s="89"/>
      <c r="K113" s="89"/>
    </row>
    <row r="114" spans="2:11" x14ac:dyDescent="0.2">
      <c r="B114" s="120"/>
      <c r="C114" s="132" t="s">
        <v>262</v>
      </c>
      <c r="D114" s="132" t="s">
        <v>263</v>
      </c>
      <c r="E114" s="132" t="s">
        <v>238</v>
      </c>
      <c r="F114" s="132" t="s">
        <v>264</v>
      </c>
      <c r="G114" s="132" t="s">
        <v>265</v>
      </c>
      <c r="H114" s="132" t="s">
        <v>266</v>
      </c>
      <c r="I114" s="132" t="s">
        <v>253</v>
      </c>
      <c r="J114" s="89"/>
      <c r="K114" s="89"/>
    </row>
    <row r="115" spans="2:11" x14ac:dyDescent="0.2">
      <c r="B115" s="59" t="s">
        <v>267</v>
      </c>
      <c r="C115" s="121">
        <f>'Aramex Courier'!$N$7</f>
        <v>248441.50182746988</v>
      </c>
      <c r="D115" s="121">
        <f>'Aramex Express+Parcel Forwardin'!N7</f>
        <v>152764.03205798916</v>
      </c>
      <c r="E115" s="121">
        <f>'Aramex Domestic'!$N$7</f>
        <v>95677.469769481017</v>
      </c>
      <c r="F115" s="121">
        <f>'Aramex Freight'!N7</f>
        <v>97644.56507997794</v>
      </c>
      <c r="G115" s="121">
        <f>'Aramex Logistics'!$N$7</f>
        <v>28921.344230288079</v>
      </c>
      <c r="H115" s="121">
        <f>(11587.0353635627)*(('2024 IR Data Book'!$A$5))</f>
        <v>3154.9951978333329</v>
      </c>
      <c r="I115" s="121">
        <f>C115+F115+G115+H115</f>
        <v>378162.40633556922</v>
      </c>
      <c r="J115" s="89">
        <f>C115-D115-E115</f>
        <v>-2.9103830456733704E-10</v>
      </c>
      <c r="K115" s="89">
        <f>I115-'Group Profit &amp; Loss Stm'!N8</f>
        <v>-1.5209487173706293E-5</v>
      </c>
    </row>
    <row r="116" spans="2:11" x14ac:dyDescent="0.2">
      <c r="B116" s="60" t="s">
        <v>206</v>
      </c>
      <c r="C116" s="122">
        <f>'Aramex Courier'!$N$10</f>
        <v>71588.328298993612</v>
      </c>
      <c r="D116" s="122">
        <f>'Aramex Express+Parcel Forwardin'!$N$10</f>
        <v>51278.198735714759</v>
      </c>
      <c r="E116" s="122">
        <f>'Aramex Domestic'!$N$9</f>
        <v>20310.129563279144</v>
      </c>
      <c r="F116" s="122">
        <f>'Aramex Freight'!$N$9</f>
        <v>15411.590172344659</v>
      </c>
      <c r="G116" s="122">
        <f>'Aramex Logistics'!$N$9</f>
        <v>4437.5761445618919</v>
      </c>
      <c r="H116" s="122">
        <f>(9732.6060737382)*(('2024 IR Data Book'!$A$5))</f>
        <v>2650.0588339972223</v>
      </c>
      <c r="I116" s="122">
        <f>C116+F116+G116+H116</f>
        <v>94087.553449897372</v>
      </c>
      <c r="J116" s="89">
        <f t="shared" ref="J116:J117" si="67">C116-D116-E116</f>
        <v>-2.9103830456733704E-10</v>
      </c>
      <c r="K116" s="89">
        <f>I116-'Group Profit &amp; Loss Stm'!N10</f>
        <v>4.9755180953070521E-6</v>
      </c>
    </row>
    <row r="117" spans="2:11" x14ac:dyDescent="0.2">
      <c r="B117" s="61" t="s">
        <v>207</v>
      </c>
      <c r="C117" s="157">
        <f>C116/C115</f>
        <v>0.28814963591996035</v>
      </c>
      <c r="D117" s="157">
        <f t="shared" ref="D117:I117" si="68">D116/D115</f>
        <v>0.33566931983210274</v>
      </c>
      <c r="E117" s="157">
        <f t="shared" si="68"/>
        <v>0.21227703462699243</v>
      </c>
      <c r="F117" s="157">
        <f t="shared" si="68"/>
        <v>0.15783356871651233</v>
      </c>
      <c r="G117" s="157">
        <f t="shared" si="68"/>
        <v>0.15343602666692821</v>
      </c>
      <c r="H117" s="157">
        <f t="shared" si="68"/>
        <v>0.83995653489968181</v>
      </c>
      <c r="I117" s="158">
        <f t="shared" si="68"/>
        <v>0.2488019746902263</v>
      </c>
      <c r="J117" s="89">
        <f t="shared" si="67"/>
        <v>-0.25979671853913483</v>
      </c>
      <c r="K117" s="89"/>
    </row>
    <row r="118" spans="2:11" x14ac:dyDescent="0.2">
      <c r="B118" s="61" t="s">
        <v>268</v>
      </c>
      <c r="C118" s="122">
        <f>'Aramex Courier'!$N$13</f>
        <v>8246.4800563334156</v>
      </c>
      <c r="D118" s="122"/>
      <c r="E118" s="122"/>
      <c r="F118" s="122">
        <f>'Aramex Freight'!$N$12</f>
        <v>4232.3487645176983</v>
      </c>
      <c r="G118" s="122">
        <f>'Aramex Logistics'!$N$12</f>
        <v>376.29503281071993</v>
      </c>
      <c r="H118" s="122">
        <f>(5549.87462995629)*(('2024 IR Data Book'!$A$5))</f>
        <v>1511.1568452748161</v>
      </c>
      <c r="I118" s="122">
        <f>C118+F118+G118+H118</f>
        <v>14366.280698936651</v>
      </c>
      <c r="J118" s="89"/>
      <c r="K118" s="89">
        <f>I118-'Group Profit &amp; Loss Stm'!N16</f>
        <v>1.4565977669917629E-2</v>
      </c>
    </row>
    <row r="119" spans="2:11" x14ac:dyDescent="0.2">
      <c r="B119" s="61" t="s">
        <v>210</v>
      </c>
      <c r="C119" s="157">
        <f>C118/C115</f>
        <v>3.3192844173274165E-2</v>
      </c>
      <c r="D119" s="157"/>
      <c r="E119" s="157"/>
      <c r="F119" s="157">
        <f t="shared" ref="F119:I119" si="69">F118/F115</f>
        <v>4.3344437665845503E-2</v>
      </c>
      <c r="G119" s="157">
        <f t="shared" si="69"/>
        <v>1.3010980050389302E-2</v>
      </c>
      <c r="H119" s="157">
        <f t="shared" si="69"/>
        <v>0.47897278775973751</v>
      </c>
      <c r="I119" s="158">
        <f t="shared" si="69"/>
        <v>3.7989711452672728E-2</v>
      </c>
      <c r="J119" s="89"/>
      <c r="K119" s="89"/>
    </row>
    <row r="120" spans="2:11" x14ac:dyDescent="0.2">
      <c r="B120" s="61" t="s">
        <v>211</v>
      </c>
      <c r="C120" s="156">
        <f>'Aramex Courier'!$N$15</f>
        <v>24927.673499108478</v>
      </c>
      <c r="D120" s="156"/>
      <c r="E120" s="156"/>
      <c r="F120" s="156">
        <f>'Aramex Freight'!$N$14</f>
        <v>6078.6696340620538</v>
      </c>
      <c r="G120" s="156">
        <f>'Aramex Logistics'!$N$14</f>
        <v>6472.0055820103462</v>
      </c>
      <c r="H120" s="156">
        <f>(5650.368148585)*(('2024 IR Data Book'!$A$5))</f>
        <v>1538.5198901554757</v>
      </c>
      <c r="I120" s="122">
        <f>C120+F120+G120+H120</f>
        <v>39016.868605336356</v>
      </c>
      <c r="J120" s="89"/>
      <c r="K120" s="89"/>
    </row>
    <row r="121" spans="2:11" x14ac:dyDescent="0.2">
      <c r="B121" s="123" t="s">
        <v>212</v>
      </c>
      <c r="C121" s="159">
        <f>C120/C115</f>
        <v>0.10033618906562355</v>
      </c>
      <c r="D121" s="159"/>
      <c r="E121" s="159"/>
      <c r="F121" s="159">
        <f t="shared" ref="F121:I121" si="70">F120/F115</f>
        <v>6.2253025850268116E-2</v>
      </c>
      <c r="G121" s="159">
        <f t="shared" si="70"/>
        <v>0.22377955638840927</v>
      </c>
      <c r="H121" s="159">
        <f t="shared" si="70"/>
        <v>0.48764571534436618</v>
      </c>
      <c r="I121" s="159">
        <f t="shared" si="70"/>
        <v>0.10317490039111406</v>
      </c>
      <c r="J121" s="89"/>
      <c r="K121" s="89"/>
    </row>
    <row r="122" spans="2:11" x14ac:dyDescent="0.2">
      <c r="J122" s="89"/>
      <c r="K122" s="89"/>
    </row>
    <row r="123" spans="2:11" x14ac:dyDescent="0.2">
      <c r="J123" s="89"/>
      <c r="K123" s="89"/>
    </row>
    <row r="124" spans="2:11" x14ac:dyDescent="0.2">
      <c r="J124" s="89"/>
      <c r="K124" s="89"/>
    </row>
    <row r="125" spans="2:11" x14ac:dyDescent="0.2">
      <c r="B125" s="120"/>
      <c r="C125" s="270" t="s">
        <v>34</v>
      </c>
      <c r="D125" s="270"/>
      <c r="E125" s="270"/>
      <c r="F125" s="270"/>
      <c r="G125" s="270"/>
      <c r="H125" s="270"/>
      <c r="I125" s="270"/>
      <c r="J125" s="89"/>
      <c r="K125" s="89"/>
    </row>
    <row r="126" spans="2:11" x14ac:dyDescent="0.2">
      <c r="B126" s="120"/>
      <c r="C126" s="132" t="s">
        <v>262</v>
      </c>
      <c r="D126" s="132" t="s">
        <v>263</v>
      </c>
      <c r="E126" s="132" t="s">
        <v>238</v>
      </c>
      <c r="F126" s="132" t="s">
        <v>264</v>
      </c>
      <c r="G126" s="132" t="s">
        <v>265</v>
      </c>
      <c r="H126" s="132" t="s">
        <v>266</v>
      </c>
      <c r="I126" s="132" t="s">
        <v>253</v>
      </c>
      <c r="J126" s="89"/>
      <c r="K126" s="89"/>
    </row>
    <row r="127" spans="2:11" x14ac:dyDescent="0.2">
      <c r="B127" s="59" t="s">
        <v>267</v>
      </c>
      <c r="C127" s="121">
        <f>'Aramex Courier'!$O$7</f>
        <v>235404.83902287914</v>
      </c>
      <c r="D127" s="121">
        <f>'Aramex Express+Parcel Forwardin'!$O$7</f>
        <v>139397.4170192953</v>
      </c>
      <c r="E127" s="121">
        <f>'Aramex Domestic'!$O$7</f>
        <v>96007.422003583823</v>
      </c>
      <c r="F127" s="121">
        <f>'Aramex Freight'!$O$7</f>
        <v>100177.30744902983</v>
      </c>
      <c r="G127" s="121">
        <f>'Aramex Logistics'!$O$7</f>
        <v>28539.185005352883</v>
      </c>
      <c r="H127" s="121">
        <f>(12405.7948016625)*(('2024 IR Data Book'!$A$5))</f>
        <v>3377.9324733601534</v>
      </c>
      <c r="I127" s="121">
        <f>C127+F127+G127+H127</f>
        <v>367499.263950622</v>
      </c>
      <c r="J127" s="89">
        <f>C127-D127-E127</f>
        <v>0</v>
      </c>
      <c r="K127" s="89">
        <f>I127-'Group Profit &amp; Loss Stm'!O8</f>
        <v>-9.4380154041573405E-4</v>
      </c>
    </row>
    <row r="128" spans="2:11" x14ac:dyDescent="0.2">
      <c r="B128" s="60" t="s">
        <v>206</v>
      </c>
      <c r="C128" s="122">
        <f>'Aramex Courier'!$O$10</f>
        <v>69344.43610749385</v>
      </c>
      <c r="D128" s="122">
        <f>'Aramex Express+Parcel Forwardin'!$O$10</f>
        <v>49695.093464315185</v>
      </c>
      <c r="E128" s="122">
        <f>'Aramex Domestic'!$O$9</f>
        <v>19649.342643178665</v>
      </c>
      <c r="F128" s="122">
        <f>'Aramex Freight'!$O$9</f>
        <v>15878.160234923474</v>
      </c>
      <c r="G128" s="122">
        <f>'Aramex Logistics'!$O$9</f>
        <v>3172.5322225587079</v>
      </c>
      <c r="H128" s="122">
        <f>10016.5559282687*(('2024 IR Data Book'!$A$5))</f>
        <v>2727.3745924600285</v>
      </c>
      <c r="I128" s="122">
        <f>C128+F128+G128+H128</f>
        <v>91122.503157436062</v>
      </c>
      <c r="J128" s="89">
        <f t="shared" ref="J128:J129" si="71">C128-D128-E128</f>
        <v>0</v>
      </c>
      <c r="K128" s="89">
        <f>I128-'Group Profit &amp; Loss Stm'!O10</f>
        <v>0</v>
      </c>
    </row>
    <row r="129" spans="2:12" x14ac:dyDescent="0.2">
      <c r="B129" s="61" t="s">
        <v>207</v>
      </c>
      <c r="C129" s="157">
        <f>C128/C127</f>
        <v>0.29457523641115219</v>
      </c>
      <c r="D129" s="157">
        <f t="shared" ref="D129:I129" si="72">D128/D127</f>
        <v>0.35649938518901264</v>
      </c>
      <c r="E129" s="157">
        <f t="shared" si="72"/>
        <v>0.20466482937584954</v>
      </c>
      <c r="F129" s="157">
        <f t="shared" si="72"/>
        <v>0.15850056903358353</v>
      </c>
      <c r="G129" s="157">
        <f t="shared" si="72"/>
        <v>0.11116407921121993</v>
      </c>
      <c r="H129" s="157">
        <f t="shared" si="72"/>
        <v>0.80740944763380929</v>
      </c>
      <c r="I129" s="158">
        <f t="shared" si="72"/>
        <v>0.24795288615783317</v>
      </c>
      <c r="J129" s="89">
        <f t="shared" si="71"/>
        <v>-0.26658897815370997</v>
      </c>
      <c r="K129" s="89"/>
    </row>
    <row r="130" spans="2:12" x14ac:dyDescent="0.2">
      <c r="B130" s="61" t="s">
        <v>268</v>
      </c>
      <c r="C130" s="122">
        <f>'Aramex Courier'!$O$13</f>
        <v>7184.9138887267873</v>
      </c>
      <c r="D130" s="122"/>
      <c r="E130" s="122"/>
      <c r="F130" s="122">
        <f>'Aramex Freight'!$O$12</f>
        <v>4679.3041836859993</v>
      </c>
      <c r="G130" s="122">
        <f>'Aramex Logistics'!$O$12</f>
        <v>-842.20253153173223</v>
      </c>
      <c r="H130" s="122">
        <f>4227.72068270248*(('2024 IR Data Book'!$A$5))</f>
        <v>1151.1519584769592</v>
      </c>
      <c r="I130" s="122">
        <f>C130+F130+G130+H130</f>
        <v>12173.167499358015</v>
      </c>
      <c r="J130" s="89"/>
      <c r="K130" s="89">
        <f>I130-'Group Profit &amp; Loss Stm'!O16</f>
        <v>-0.37120308101111732</v>
      </c>
    </row>
    <row r="131" spans="2:12" x14ac:dyDescent="0.2">
      <c r="B131" s="61" t="s">
        <v>210</v>
      </c>
      <c r="C131" s="157">
        <f>C130/C127</f>
        <v>3.0521521641398718E-2</v>
      </c>
      <c r="D131" s="157"/>
      <c r="E131" s="157"/>
      <c r="F131" s="157">
        <f t="shared" ref="F131:I131" si="73">F130/F127</f>
        <v>4.6710221135328751E-2</v>
      </c>
      <c r="G131" s="157">
        <f t="shared" si="73"/>
        <v>-2.95103918130026E-2</v>
      </c>
      <c r="H131" s="157">
        <f t="shared" si="73"/>
        <v>0.3407859593273237</v>
      </c>
      <c r="I131" s="158">
        <f t="shared" si="73"/>
        <v>3.3124331647623732E-2</v>
      </c>
      <c r="J131" s="89"/>
      <c r="K131" s="89"/>
    </row>
    <row r="132" spans="2:12" x14ac:dyDescent="0.2">
      <c r="B132" s="61" t="s">
        <v>211</v>
      </c>
      <c r="C132" s="156">
        <f>'Aramex Courier'!$O$15</f>
        <v>23372.356359880981</v>
      </c>
      <c r="D132" s="156"/>
      <c r="E132" s="156"/>
      <c r="F132" s="156">
        <f>'Aramex Freight'!$O$14</f>
        <v>6538.6180960943202</v>
      </c>
      <c r="G132" s="156">
        <f>'Aramex Logistics'!$O$14</f>
        <v>5318.9415178877634</v>
      </c>
      <c r="H132" s="156">
        <f>(4479.7297055112)*(('2024 IR Data Book'!$A$5))</f>
        <v>1219.770654444045</v>
      </c>
      <c r="I132" s="122">
        <f>C132+F132+G132+H132</f>
        <v>36449.686628307107</v>
      </c>
      <c r="J132" s="89"/>
      <c r="K132" s="89"/>
    </row>
    <row r="133" spans="2:12" x14ac:dyDescent="0.2">
      <c r="B133" s="123" t="s">
        <v>212</v>
      </c>
      <c r="C133" s="159">
        <f>C132/C127</f>
        <v>9.9285794025709931E-2</v>
      </c>
      <c r="D133" s="159"/>
      <c r="E133" s="159"/>
      <c r="F133" s="159">
        <f t="shared" ref="F133:I133" si="74">F132/F127</f>
        <v>6.5270451588261807E-2</v>
      </c>
      <c r="G133" s="159">
        <f t="shared" si="74"/>
        <v>0.1863732799969631</v>
      </c>
      <c r="H133" s="159">
        <f t="shared" si="74"/>
        <v>0.36109977451109149</v>
      </c>
      <c r="I133" s="159">
        <f t="shared" si="74"/>
        <v>9.918301940654925E-2</v>
      </c>
      <c r="J133" s="89"/>
      <c r="K133" s="89"/>
    </row>
    <row r="134" spans="2:12" x14ac:dyDescent="0.2">
      <c r="J134" s="89"/>
      <c r="K134" s="89"/>
    </row>
    <row r="135" spans="2:12" x14ac:dyDescent="0.2">
      <c r="J135" s="89"/>
      <c r="K135" s="89"/>
    </row>
    <row r="136" spans="2:12" x14ac:dyDescent="0.2">
      <c r="J136" s="89"/>
      <c r="K136" s="89"/>
    </row>
    <row r="137" spans="2:12" x14ac:dyDescent="0.2">
      <c r="B137" s="120"/>
      <c r="C137" s="270" t="s">
        <v>35</v>
      </c>
      <c r="D137" s="270"/>
      <c r="E137" s="270"/>
      <c r="F137" s="270"/>
      <c r="G137" s="270"/>
      <c r="H137" s="270"/>
      <c r="I137" s="270"/>
      <c r="J137" s="89"/>
      <c r="K137" s="89"/>
    </row>
    <row r="138" spans="2:12" x14ac:dyDescent="0.2">
      <c r="B138" s="120"/>
      <c r="C138" s="132" t="s">
        <v>262</v>
      </c>
      <c r="D138" s="132" t="s">
        <v>272</v>
      </c>
      <c r="E138" s="132" t="s">
        <v>238</v>
      </c>
      <c r="F138" s="132" t="s">
        <v>264</v>
      </c>
      <c r="G138" s="132" t="s">
        <v>265</v>
      </c>
      <c r="H138" s="132" t="s">
        <v>266</v>
      </c>
      <c r="I138" s="132" t="s">
        <v>253</v>
      </c>
      <c r="J138" s="89"/>
      <c r="K138" s="89"/>
    </row>
    <row r="139" spans="2:12" x14ac:dyDescent="0.2">
      <c r="B139" s="59" t="s">
        <v>267</v>
      </c>
      <c r="C139" s="121">
        <f>'Aramex Courier'!$P$7</f>
        <v>277069.17126522231</v>
      </c>
      <c r="D139" s="121">
        <f>'Aramex Express+Parcel Forwardin'!$P$7</f>
        <v>178576.12708504731</v>
      </c>
      <c r="E139" s="121">
        <f>'Aramex Domestic'!$P$7</f>
        <v>98493.04418017494</v>
      </c>
      <c r="F139" s="121">
        <f>'Aramex Freight'!$P$7</f>
        <v>104535.36682249529</v>
      </c>
      <c r="G139" s="121">
        <f>'Aramex Logistics'!$P$7</f>
        <v>30183.962709052263</v>
      </c>
      <c r="H139" s="121">
        <f>('[12]Sum Per Produc-23 Vs 22 Express'!$AB$5*3.6726)*(('2024 IR Data Book'!$A$5))</f>
        <v>3178.8125247921926</v>
      </c>
      <c r="I139" s="121">
        <f>C139+F139+G139+H139</f>
        <v>414967.31332156208</v>
      </c>
      <c r="J139" s="89">
        <f>C139-D139-E139</f>
        <v>0</v>
      </c>
      <c r="K139" s="89">
        <f>I139-'Group Profit &amp; Loss Stm'!P8</f>
        <v>-8.3998585992958397E-2</v>
      </c>
      <c r="L139" s="28"/>
    </row>
    <row r="140" spans="2:12" x14ac:dyDescent="0.2">
      <c r="B140" s="60" t="s">
        <v>206</v>
      </c>
      <c r="C140" s="122">
        <f>'Aramex Courier'!$P$10</f>
        <v>82787.585971742257</v>
      </c>
      <c r="D140" s="122">
        <f>'Aramex Express+Parcel Forwardin'!$P$10</f>
        <v>61430.94055101744</v>
      </c>
      <c r="E140" s="122">
        <f>'Aramex Domestic'!$P$9</f>
        <v>21356.645420724803</v>
      </c>
      <c r="F140" s="122">
        <f>'Aramex Freight'!$P$9</f>
        <v>14505.341136083545</v>
      </c>
      <c r="G140" s="122">
        <f>'Aramex Logistics'!$P$9</f>
        <v>5753.6979977666888</v>
      </c>
      <c r="H140" s="122">
        <f>('[12]Sum Per Produc-23 Vs 22 Express'!$AB$11*3.6726)*(('2024 IR Data Book'!$A$5))</f>
        <v>2798.6286211997731</v>
      </c>
      <c r="I140" s="122">
        <f>C140+F140+G140+H140</f>
        <v>105845.25372679227</v>
      </c>
      <c r="J140" s="89">
        <f t="shared" ref="J140:J141" si="75">C140-D140-E140</f>
        <v>0</v>
      </c>
      <c r="K140" s="89">
        <f>I140-'Group Profit &amp; Loss Stm'!P10</f>
        <v>2.5459030162892304E-2</v>
      </c>
    </row>
    <row r="141" spans="2:12" x14ac:dyDescent="0.2">
      <c r="B141" s="61" t="s">
        <v>207</v>
      </c>
      <c r="C141" s="157">
        <f>C140/C139</f>
        <v>0.29879753706880108</v>
      </c>
      <c r="D141" s="157">
        <f t="shared" ref="D141:I141" si="76">D140/D139</f>
        <v>0.34400421575813889</v>
      </c>
      <c r="E141" s="157">
        <f t="shared" si="76"/>
        <v>0.21683404750549432</v>
      </c>
      <c r="F141" s="157">
        <f t="shared" si="76"/>
        <v>0.13876013044192137</v>
      </c>
      <c r="G141" s="157">
        <f t="shared" si="76"/>
        <v>0.19062102790238133</v>
      </c>
      <c r="H141" s="157">
        <f t="shared" si="76"/>
        <v>0.88040065256214717</v>
      </c>
      <c r="I141" s="158">
        <f t="shared" si="76"/>
        <v>0.2550688941728087</v>
      </c>
      <c r="J141" s="89">
        <f t="shared" si="75"/>
        <v>-0.2620407261948321</v>
      </c>
      <c r="K141" s="89"/>
    </row>
    <row r="142" spans="2:12" x14ac:dyDescent="0.2">
      <c r="B142" s="61" t="s">
        <v>268</v>
      </c>
      <c r="C142" s="122">
        <f>'Aramex Courier'!$P$13</f>
        <v>19985.173051549893</v>
      </c>
      <c r="D142" s="122"/>
      <c r="E142" s="122"/>
      <c r="F142" s="122">
        <f>'Aramex Freight'!$P$12</f>
        <v>2876.387189923521</v>
      </c>
      <c r="G142" s="122">
        <f>'Aramex Logistics'!$P$12</f>
        <v>4637.8462319701903</v>
      </c>
      <c r="H142" s="122">
        <f>'[12]Sum Per Produc-23 Vs 22 Express'!$AB$18*3.6726*(('2024 IR Data Book'!$A$5))</f>
        <v>1415.1020145123521</v>
      </c>
      <c r="I142" s="122">
        <f>C142+F142+G142+H142</f>
        <v>28914.508487955954</v>
      </c>
      <c r="J142" s="89"/>
      <c r="K142" s="89">
        <f>I142-'Group Profit &amp; Loss Stm'!P16</f>
        <v>0.24973327975749271</v>
      </c>
    </row>
    <row r="143" spans="2:12" x14ac:dyDescent="0.2">
      <c r="B143" s="61" t="s">
        <v>210</v>
      </c>
      <c r="C143" s="157">
        <f>C142/C139</f>
        <v>7.2130627021002064E-2</v>
      </c>
      <c r="D143" s="157"/>
      <c r="E143" s="157"/>
      <c r="F143" s="157">
        <f t="shared" ref="F143:I143" si="77">F142/F139</f>
        <v>2.7515923819425889E-2</v>
      </c>
      <c r="G143" s="157">
        <f t="shared" si="77"/>
        <v>0.15365266239807823</v>
      </c>
      <c r="H143" s="157">
        <f t="shared" si="77"/>
        <v>0.44516686765126579</v>
      </c>
      <c r="I143" s="158">
        <f t="shared" si="77"/>
        <v>6.9679002561702563E-2</v>
      </c>
      <c r="J143" s="89"/>
      <c r="K143" s="89"/>
    </row>
    <row r="144" spans="2:12" x14ac:dyDescent="0.2">
      <c r="B144" s="61" t="s">
        <v>211</v>
      </c>
      <c r="C144" s="156">
        <f>'Aramex Courier'!$P$15</f>
        <v>36382.353702548869</v>
      </c>
      <c r="D144" s="156"/>
      <c r="E144" s="156"/>
      <c r="F144" s="156">
        <f>'Aramex Freight'!$P$14</f>
        <v>4988.3234680195583</v>
      </c>
      <c r="G144" s="156">
        <f>'Aramex Logistics'!$P$14</f>
        <v>10896.855818032403</v>
      </c>
      <c r="H144" s="156">
        <f>('[12]Sum Per Produc-23 Vs 22 Express'!$AB$22*3.6726)*(('2024 IR Data Book'!$A$5))</f>
        <v>1484.3428779858787</v>
      </c>
      <c r="I144" s="122">
        <f>C144+F144+G144+H144</f>
        <v>53751.875866586714</v>
      </c>
      <c r="J144" s="89"/>
      <c r="K144" s="89"/>
    </row>
    <row r="145" spans="2:12" x14ac:dyDescent="0.2">
      <c r="B145" s="123" t="s">
        <v>212</v>
      </c>
      <c r="C145" s="159">
        <f>C144/C139</f>
        <v>0.13131144665576</v>
      </c>
      <c r="D145" s="159"/>
      <c r="E145" s="159"/>
      <c r="F145" s="159">
        <f t="shared" ref="F145:I145" si="78">F144/F139</f>
        <v>4.7719002856611258E-2</v>
      </c>
      <c r="G145" s="159">
        <f t="shared" si="78"/>
        <v>0.36101475220695273</v>
      </c>
      <c r="H145" s="159">
        <f t="shared" si="78"/>
        <v>0.46694885791760055</v>
      </c>
      <c r="I145" s="159">
        <f t="shared" si="78"/>
        <v>0.12953279485156433</v>
      </c>
      <c r="J145" s="89"/>
      <c r="K145" s="89"/>
    </row>
    <row r="146" spans="2:12" x14ac:dyDescent="0.2">
      <c r="J146" s="89"/>
      <c r="K146" s="89"/>
    </row>
    <row r="147" spans="2:12" x14ac:dyDescent="0.2">
      <c r="J147" s="89"/>
      <c r="K147" s="89"/>
    </row>
    <row r="148" spans="2:12" x14ac:dyDescent="0.2">
      <c r="B148" s="120"/>
      <c r="C148" s="270" t="s">
        <v>37</v>
      </c>
      <c r="D148" s="270"/>
      <c r="E148" s="270"/>
      <c r="F148" s="270"/>
      <c r="G148" s="270"/>
      <c r="H148" s="270"/>
      <c r="I148" s="270"/>
      <c r="J148" s="89"/>
      <c r="K148" s="89"/>
    </row>
    <row r="149" spans="2:12" x14ac:dyDescent="0.2">
      <c r="B149" s="120"/>
      <c r="C149" s="132" t="s">
        <v>262</v>
      </c>
      <c r="D149" s="132" t="s">
        <v>272</v>
      </c>
      <c r="E149" s="132" t="s">
        <v>238</v>
      </c>
      <c r="F149" s="132" t="s">
        <v>264</v>
      </c>
      <c r="G149" s="132" t="s">
        <v>265</v>
      </c>
      <c r="H149" s="132" t="s">
        <v>266</v>
      </c>
      <c r="I149" s="132" t="s">
        <v>253</v>
      </c>
      <c r="J149" s="89"/>
      <c r="K149" s="89"/>
    </row>
    <row r="150" spans="2:12" x14ac:dyDescent="0.2">
      <c r="B150" s="59" t="s">
        <v>267</v>
      </c>
      <c r="C150" s="121">
        <f>'Aramex Courier'!$R$7</f>
        <v>279368.72731729213</v>
      </c>
      <c r="D150" s="121">
        <f>'Aramex Express+Parcel Forwardin'!$R$7</f>
        <v>175844.14032247599</v>
      </c>
      <c r="E150" s="121">
        <f>'Aramex Domestic'!$R$7</f>
        <v>103524.58699481611</v>
      </c>
      <c r="F150" s="121">
        <f>'Aramex Freight'!$R$7</f>
        <v>108517.03238421441</v>
      </c>
      <c r="G150" s="121">
        <f>'Aramex Logistics'!$R$7</f>
        <v>29026.66253037412</v>
      </c>
      <c r="H150" s="121">
        <f>('[13]Sum Per Produc-24 Vs 23 Express'!$AB$5*3.6726)*(('2024 IR Data Book'!$A$5))</f>
        <v>2599.8191962574256</v>
      </c>
      <c r="I150" s="121">
        <f>C150+F150+G150+H150</f>
        <v>419512.24142813811</v>
      </c>
      <c r="J150" s="89">
        <f>C150-D150-E150</f>
        <v>0</v>
      </c>
      <c r="K150" s="89">
        <f>I150-'Group Profit &amp; Loss Stm'!R8</f>
        <v>9.6349569503217936E-5</v>
      </c>
      <c r="L150" s="28"/>
    </row>
    <row r="151" spans="2:12" x14ac:dyDescent="0.2">
      <c r="B151" s="60" t="s">
        <v>206</v>
      </c>
      <c r="C151" s="122">
        <f>'Aramex Courier'!$R$10</f>
        <v>85483.561842234747</v>
      </c>
      <c r="D151" s="122">
        <f>'Aramex Express+Parcel Forwardin'!$R$10</f>
        <v>59669.47965054489</v>
      </c>
      <c r="E151" s="122">
        <f>'Aramex Domestic'!$R$9</f>
        <v>25814.084201689853</v>
      </c>
      <c r="F151" s="122">
        <f>'Aramex Freight'!$R$9</f>
        <v>15394.328811238127</v>
      </c>
      <c r="G151" s="122">
        <f>'Aramex Logistics'!$R$9</f>
        <v>4446.5727339950754</v>
      </c>
      <c r="H151" s="122">
        <f>('[13]Sum Per Produc-24 Vs 23 Express'!$AB$11*3.6726)*(('2024 IR Data Book'!$A$5))</f>
        <v>2337.8547583233908</v>
      </c>
      <c r="I151" s="122">
        <f>C151+F151+G151+H151</f>
        <v>107662.31814579135</v>
      </c>
      <c r="J151" s="89">
        <f t="shared" ref="J151:J152" si="79">C151-D151-E151</f>
        <v>-2.0099999965168536E-3</v>
      </c>
      <c r="K151" s="89">
        <f>I151-'Group Profit &amp; Loss Stm'!R10</f>
        <v>1.0212770284852013E-3</v>
      </c>
    </row>
    <row r="152" spans="2:12" x14ac:dyDescent="0.2">
      <c r="B152" s="61" t="s">
        <v>207</v>
      </c>
      <c r="C152" s="157">
        <f>C151/C150</f>
        <v>0.30598829963221713</v>
      </c>
      <c r="D152" s="157">
        <f t="shared" ref="D152:I152" si="80">D151/D150</f>
        <v>0.33933163505544506</v>
      </c>
      <c r="E152" s="157">
        <f t="shared" si="80"/>
        <v>0.24935220657274842</v>
      </c>
      <c r="F152" s="157">
        <f t="shared" si="80"/>
        <v>0.14186094544802061</v>
      </c>
      <c r="G152" s="157">
        <f t="shared" si="80"/>
        <v>0.15318925244478543</v>
      </c>
      <c r="H152" s="157">
        <f t="shared" si="80"/>
        <v>0.89923743992999738</v>
      </c>
      <c r="I152" s="158">
        <f t="shared" si="80"/>
        <v>0.25663689283363561</v>
      </c>
      <c r="J152" s="89">
        <f t="shared" si="79"/>
        <v>-0.28269554199597635</v>
      </c>
      <c r="K152" s="89"/>
    </row>
    <row r="153" spans="2:12" x14ac:dyDescent="0.2">
      <c r="B153" s="61" t="s">
        <v>268</v>
      </c>
      <c r="C153" s="122">
        <f>'Aramex Courier'!$R$13</f>
        <v>21439.245537601393</v>
      </c>
      <c r="D153" s="122"/>
      <c r="E153" s="122"/>
      <c r="F153" s="122">
        <f>'Aramex Freight'!$R$12</f>
        <v>3401.8405437409879</v>
      </c>
      <c r="G153" s="122">
        <f>'Aramex Logistics'!$R$12</f>
        <v>-354.27545927675601</v>
      </c>
      <c r="H153" s="122">
        <f>'[13]Sum Per Produc-24 Vs 23 Express'!$AB$18*3.6726*(('2024 IR Data Book'!$A$5))</f>
        <v>674.33778656624168</v>
      </c>
      <c r="I153" s="122">
        <f>C153+F153+G153+H153</f>
        <v>25161.148408631867</v>
      </c>
      <c r="J153" s="89"/>
      <c r="K153" s="89">
        <f>I153-'Group Profit &amp; Loss Stm'!R16</f>
        <v>-1.6677262792654801E-3</v>
      </c>
    </row>
    <row r="154" spans="2:12" x14ac:dyDescent="0.2">
      <c r="B154" s="61" t="s">
        <v>210</v>
      </c>
      <c r="C154" s="157">
        <f>C153/C150</f>
        <v>7.6741751818383885E-2</v>
      </c>
      <c r="D154" s="157"/>
      <c r="E154" s="157"/>
      <c r="F154" s="157">
        <f t="shared" ref="F154:I154" si="81">F153/F150</f>
        <v>3.1348447971710672E-2</v>
      </c>
      <c r="G154" s="157">
        <f t="shared" si="81"/>
        <v>-1.2205173740041061E-2</v>
      </c>
      <c r="H154" s="157">
        <f t="shared" si="81"/>
        <v>0.25937872431166975</v>
      </c>
      <c r="I154" s="158">
        <f t="shared" si="81"/>
        <v>5.9977149470004057E-2</v>
      </c>
      <c r="J154" s="89"/>
      <c r="K154" s="89"/>
    </row>
    <row r="155" spans="2:12" x14ac:dyDescent="0.2">
      <c r="B155" s="61" t="s">
        <v>211</v>
      </c>
      <c r="C155" s="156">
        <f>'Aramex Courier'!$R$15</f>
        <v>37282.421737888712</v>
      </c>
      <c r="D155" s="156"/>
      <c r="E155" s="156"/>
      <c r="F155" s="156">
        <f>'Aramex Freight'!$R$14</f>
        <v>5365.0303975135512</v>
      </c>
      <c r="G155" s="156">
        <f>'Aramex Logistics'!$R$14</f>
        <v>5891.2030876335975</v>
      </c>
      <c r="H155" s="156">
        <f>('[13]Sum Per Produc-24 Vs 23 Express'!$AB$22*3.6726)*(('2024 IR Data Book'!$A$5))</f>
        <v>792.61253972622285</v>
      </c>
      <c r="I155" s="122">
        <f>C155+F155+G155+H155</f>
        <v>49331.267762762087</v>
      </c>
      <c r="J155" s="89"/>
      <c r="K155" s="89"/>
    </row>
    <row r="156" spans="2:12" x14ac:dyDescent="0.2">
      <c r="B156" s="123" t="s">
        <v>212</v>
      </c>
      <c r="C156" s="159">
        <f>C155/C150</f>
        <v>0.13345238064368359</v>
      </c>
      <c r="D156" s="159"/>
      <c r="E156" s="159"/>
      <c r="F156" s="159">
        <f t="shared" ref="F156:I156" si="82">F155/F150</f>
        <v>4.9439523728571688E-2</v>
      </c>
      <c r="G156" s="159">
        <f t="shared" si="82"/>
        <v>0.20295833465073418</v>
      </c>
      <c r="H156" s="159">
        <f t="shared" si="82"/>
        <v>0.3048721775988229</v>
      </c>
      <c r="I156" s="159">
        <f t="shared" si="82"/>
        <v>0.11759196250108107</v>
      </c>
      <c r="J156" s="89"/>
      <c r="K156" s="89"/>
    </row>
    <row r="157" spans="2:12" x14ac:dyDescent="0.2">
      <c r="J157" s="89"/>
      <c r="K157" s="89"/>
    </row>
    <row r="158" spans="2:12" x14ac:dyDescent="0.2">
      <c r="J158" s="89"/>
      <c r="K158" s="89"/>
    </row>
    <row r="159" spans="2:12" x14ac:dyDescent="0.2">
      <c r="B159" s="120"/>
      <c r="C159" s="270" t="s">
        <v>332</v>
      </c>
      <c r="D159" s="270"/>
      <c r="E159" s="270"/>
      <c r="F159" s="270"/>
      <c r="G159" s="270"/>
      <c r="H159" s="270"/>
      <c r="I159" s="270"/>
      <c r="J159" s="89"/>
      <c r="K159" s="89"/>
    </row>
    <row r="160" spans="2:12" x14ac:dyDescent="0.2">
      <c r="B160" s="120"/>
      <c r="C160" s="132" t="s">
        <v>262</v>
      </c>
      <c r="D160" s="132" t="s">
        <v>272</v>
      </c>
      <c r="E160" s="132" t="s">
        <v>238</v>
      </c>
      <c r="F160" s="132" t="s">
        <v>264</v>
      </c>
      <c r="G160" s="132" t="s">
        <v>265</v>
      </c>
      <c r="H160" s="132" t="s">
        <v>266</v>
      </c>
      <c r="I160" s="132" t="s">
        <v>253</v>
      </c>
      <c r="J160" s="89"/>
      <c r="K160" s="89"/>
    </row>
    <row r="161" spans="2:12" x14ac:dyDescent="0.2">
      <c r="B161" s="59" t="s">
        <v>267</v>
      </c>
      <c r="C161" s="121">
        <f>'Aramex Courier'!$S$7</f>
        <v>262858.41802154307</v>
      </c>
      <c r="D161" s="121">
        <f>'Aramex Express+Parcel Forwardin'!$S$7</f>
        <v>160458.43771856109</v>
      </c>
      <c r="E161" s="121">
        <f>'Aramex Domestic'!$S$7</f>
        <v>102399.98030298199</v>
      </c>
      <c r="F161" s="121">
        <f>'Aramex Freight'!$S$7</f>
        <v>111982.32309227098</v>
      </c>
      <c r="G161" s="121">
        <f>'Aramex Logistics'!$S$7</f>
        <v>29317.370305348588</v>
      </c>
      <c r="H161" s="261">
        <f>('[14]Sum Per Produc-24 Vs 23 Express'!$AB$5*3.6726)*(('2024 IR Data Book'!$A$5))</f>
        <v>3252.0930234870325</v>
      </c>
      <c r="I161" s="121">
        <f>C161+F161+G161+H161</f>
        <v>407410.20444264967</v>
      </c>
      <c r="J161" s="89">
        <f>C161-D161-E161</f>
        <v>0</v>
      </c>
      <c r="K161" s="89">
        <f>I161-'Group Profit &amp; Loss Stm'!S8</f>
        <v>8.5898791439831257E-6</v>
      </c>
      <c r="L161" s="28"/>
    </row>
    <row r="162" spans="2:12" x14ac:dyDescent="0.2">
      <c r="B162" s="60" t="s">
        <v>206</v>
      </c>
      <c r="C162" s="122">
        <f>'Aramex Courier'!$S$10</f>
        <v>73392.056652120431</v>
      </c>
      <c r="D162" s="122">
        <f>'Aramex Express+Parcel Forwardin'!$S$10</f>
        <v>51218.276438500659</v>
      </c>
      <c r="E162" s="122">
        <f>'Aramex Domestic'!$S$9</f>
        <v>22173.780213619801</v>
      </c>
      <c r="F162" s="122">
        <f>'Aramex Freight'!$S$9</f>
        <v>14137.06893208393</v>
      </c>
      <c r="G162" s="122">
        <f>'Aramex Logistics'!$S$9</f>
        <v>3364.387328118486</v>
      </c>
      <c r="H162" s="262">
        <f>('[14]Sum Per Produc-24 Vs 23 Express'!$AB$11*3.6726)*(('2024 IR Data Book'!$A$5))</f>
        <v>3081.1344402282075</v>
      </c>
      <c r="I162" s="122">
        <f>C162+F162+G162+H162</f>
        <v>93974.647352551066</v>
      </c>
      <c r="J162" s="89">
        <f t="shared" ref="J162:J163" si="83">C162-D162-E162</f>
        <v>-2.9103830456733704E-11</v>
      </c>
      <c r="K162" s="89">
        <f>I162-'Group Profit &amp; Loss Stm'!S10</f>
        <v>1.9599324150476605E-4</v>
      </c>
      <c r="L162" s="28"/>
    </row>
    <row r="163" spans="2:12" x14ac:dyDescent="0.2">
      <c r="B163" s="61" t="s">
        <v>207</v>
      </c>
      <c r="C163" s="157">
        <f>C162/C161</f>
        <v>0.27920755669352559</v>
      </c>
      <c r="D163" s="157">
        <f t="shared" ref="D163:I163" si="84">D162/D161</f>
        <v>0.31919964550780344</v>
      </c>
      <c r="E163" s="157">
        <f t="shared" si="84"/>
        <v>0.21654086405106543</v>
      </c>
      <c r="F163" s="157">
        <f t="shared" si="84"/>
        <v>0.12624375474364197</v>
      </c>
      <c r="G163" s="157">
        <f t="shared" si="84"/>
        <v>0.1147574728932866</v>
      </c>
      <c r="H163" s="263">
        <f t="shared" si="84"/>
        <v>0.94743121367558059</v>
      </c>
      <c r="I163" s="158">
        <f t="shared" si="84"/>
        <v>0.23066345989323322</v>
      </c>
      <c r="J163" s="89">
        <f t="shared" si="83"/>
        <v>-0.25653295286534328</v>
      </c>
      <c r="K163" s="89"/>
    </row>
    <row r="164" spans="2:12" x14ac:dyDescent="0.2">
      <c r="B164" s="61" t="s">
        <v>268</v>
      </c>
      <c r="C164" s="122">
        <f>'Aramex Courier'!$S$13</f>
        <v>8328.9491392935906</v>
      </c>
      <c r="D164" s="122"/>
      <c r="E164" s="122"/>
      <c r="F164" s="122">
        <f>'Aramex Freight'!$S$12</f>
        <v>3170.8589514411651</v>
      </c>
      <c r="G164" s="122">
        <f>'Aramex Logistics'!$S$12</f>
        <v>-405.10530498022371</v>
      </c>
      <c r="H164" s="262">
        <f>'[14]Sum Per Produc-24 Vs 23 Express'!$AB$18*3.6726*(('2024 IR Data Book'!$A$5))</f>
        <v>1692.3518319230943</v>
      </c>
      <c r="I164" s="122">
        <f>C164+F164+G164+H164</f>
        <v>12787.054617677626</v>
      </c>
      <c r="J164" s="89"/>
      <c r="K164" s="89">
        <f>I164-'Group Profit &amp; Loss Stm'!S16</f>
        <v>-2.3352293956122594E-2</v>
      </c>
    </row>
    <row r="165" spans="2:12" x14ac:dyDescent="0.2">
      <c r="B165" s="61" t="s">
        <v>210</v>
      </c>
      <c r="C165" s="157">
        <f>C164/C161</f>
        <v>3.1686065837202806E-2</v>
      </c>
      <c r="D165" s="157"/>
      <c r="E165" s="157"/>
      <c r="F165" s="157">
        <f t="shared" ref="F165:I165" si="85">F164/F161</f>
        <v>2.8315709693113322E-2</v>
      </c>
      <c r="G165" s="157">
        <f t="shared" si="85"/>
        <v>-1.3817927759582084E-2</v>
      </c>
      <c r="H165" s="263">
        <f t="shared" si="85"/>
        <v>0.52038850663271696</v>
      </c>
      <c r="I165" s="158">
        <f t="shared" si="85"/>
        <v>3.1386191308513563E-2</v>
      </c>
      <c r="J165" s="89"/>
      <c r="K165" s="89"/>
    </row>
    <row r="166" spans="2:12" x14ac:dyDescent="0.2">
      <c r="B166" s="61" t="s">
        <v>211</v>
      </c>
      <c r="C166" s="156">
        <f>'Aramex Courier'!$S$15</f>
        <v>24134.029439881473</v>
      </c>
      <c r="D166" s="156"/>
      <c r="E166" s="156"/>
      <c r="F166" s="156">
        <f>'Aramex Freight'!$S$14</f>
        <v>4993.0574516614952</v>
      </c>
      <c r="G166" s="156">
        <f>'Aramex Logistics'!$S$14</f>
        <v>5845.7663060461427</v>
      </c>
      <c r="H166" s="264">
        <f>('[14]Sum Per Produc-24 Vs 23 Express'!$AB$22*3.6726)*(('2024 IR Data Book'!$A$5))</f>
        <v>1766.7575694052034</v>
      </c>
      <c r="I166" s="122">
        <f>C166+F166+G166+H166</f>
        <v>36739.610766994316</v>
      </c>
      <c r="J166" s="89"/>
      <c r="K166" s="89"/>
    </row>
    <row r="167" spans="2:12" x14ac:dyDescent="0.2">
      <c r="B167" s="123" t="s">
        <v>212</v>
      </c>
      <c r="C167" s="159">
        <f>C166/C161</f>
        <v>9.181379703009368E-2</v>
      </c>
      <c r="D167" s="159"/>
      <c r="E167" s="159"/>
      <c r="F167" s="159">
        <f t="shared" ref="F167:I167" si="86">F166/F161</f>
        <v>4.4587907392734882E-2</v>
      </c>
      <c r="G167" s="159">
        <f t="shared" si="86"/>
        <v>0.19939599783885309</v>
      </c>
      <c r="H167" s="265">
        <f t="shared" si="86"/>
        <v>0.54326784524472516</v>
      </c>
      <c r="I167" s="159">
        <f t="shared" si="86"/>
        <v>9.0178425494411199E-2</v>
      </c>
      <c r="J167" s="89"/>
      <c r="K167" s="89"/>
    </row>
    <row r="170" spans="2:12" x14ac:dyDescent="0.2">
      <c r="B170" s="120"/>
      <c r="C170" s="270" t="s">
        <v>342</v>
      </c>
      <c r="D170" s="270"/>
      <c r="E170" s="270"/>
      <c r="F170" s="270"/>
      <c r="G170" s="270"/>
      <c r="H170" s="270"/>
      <c r="I170" s="270"/>
      <c r="J170" s="89"/>
      <c r="K170" s="89"/>
    </row>
    <row r="171" spans="2:12" x14ac:dyDescent="0.2">
      <c r="B171" s="120"/>
      <c r="C171" s="132" t="s">
        <v>262</v>
      </c>
      <c r="D171" s="132" t="s">
        <v>272</v>
      </c>
      <c r="E171" s="132" t="s">
        <v>238</v>
      </c>
      <c r="F171" s="132" t="s">
        <v>264</v>
      </c>
      <c r="G171" s="132" t="s">
        <v>265</v>
      </c>
      <c r="H171" s="132" t="s">
        <v>266</v>
      </c>
      <c r="I171" s="132" t="s">
        <v>253</v>
      </c>
      <c r="J171" s="89"/>
      <c r="K171" s="89"/>
    </row>
    <row r="172" spans="2:12" x14ac:dyDescent="0.2">
      <c r="B172" s="59" t="s">
        <v>267</v>
      </c>
      <c r="C172" s="121">
        <f>'Aramex Courier'!$T$7</f>
        <v>275268.84920073079</v>
      </c>
      <c r="D172" s="121">
        <f>'Aramex Express+Parcel Forwardin'!$T$7</f>
        <v>153111.98517815402</v>
      </c>
      <c r="E172" s="121">
        <f>'Aramex Domestic'!$T$7</f>
        <v>122156.86402257682</v>
      </c>
      <c r="F172" s="121">
        <f>'Aramex Freight'!$T$7</f>
        <v>122443.46142186402</v>
      </c>
      <c r="G172" s="121">
        <f>'Aramex Logistics'!$T$7</f>
        <v>32215.177686603718</v>
      </c>
      <c r="H172" s="261">
        <f>('[15]Sum Per Produc-24 Vs 23 Express'!$AB$5*3.6726)*(('2024 IR Data Book'!$A$5))</f>
        <v>3649.8403297316117</v>
      </c>
      <c r="I172" s="121">
        <f>C172+F172+G172+H172</f>
        <v>433577.32863893016</v>
      </c>
      <c r="J172" s="89">
        <f>C172-D172-E172</f>
        <v>0</v>
      </c>
      <c r="K172" s="89">
        <f>I172-'Group Profit &amp; Loss Stm'!T8</f>
        <v>1.067919482011348E-3</v>
      </c>
      <c r="L172" s="28"/>
    </row>
    <row r="173" spans="2:12" x14ac:dyDescent="0.2">
      <c r="B173" s="60" t="s">
        <v>206</v>
      </c>
      <c r="C173" s="122">
        <f>'Aramex Courier'!$T$10</f>
        <v>78226.233025108377</v>
      </c>
      <c r="D173" s="122">
        <f>'Aramex Express+Parcel Forwardin'!$T$10</f>
        <v>48657.752468658247</v>
      </c>
      <c r="E173" s="122">
        <f>'Aramex Domestic'!$T$9</f>
        <v>29568.480556450158</v>
      </c>
      <c r="F173" s="122">
        <f>'Aramex Freight'!$T$9</f>
        <v>14556.584249924344</v>
      </c>
      <c r="G173" s="122">
        <f>'Aramex Logistics'!$T$9</f>
        <v>5625.9755000854311</v>
      </c>
      <c r="H173" s="262">
        <f>('[15]Sum Per Produc-24 Vs 23 Express'!$AB$11*3.6726)*(('2024 IR Data Book'!$A$5))</f>
        <v>3171.0052524048524</v>
      </c>
      <c r="I173" s="122">
        <f>C173+F173+G173+H173</f>
        <v>101579.79802752301</v>
      </c>
      <c r="J173" s="89">
        <f t="shared" ref="J173:J174" si="87">C173-D173-E173</f>
        <v>-2.9103830456733704E-11</v>
      </c>
      <c r="K173" s="89">
        <f>I173-'Group Profit &amp; Loss Stm'!T10</f>
        <v>-1.7065563588403165E-4</v>
      </c>
    </row>
    <row r="174" spans="2:12" x14ac:dyDescent="0.2">
      <c r="B174" s="61" t="s">
        <v>207</v>
      </c>
      <c r="C174" s="157">
        <f>C173/C172</f>
        <v>0.28418120412914744</v>
      </c>
      <c r="D174" s="157">
        <f t="shared" ref="D174:I174" si="88">D173/D172</f>
        <v>0.31779192472778889</v>
      </c>
      <c r="E174" s="157">
        <f t="shared" si="88"/>
        <v>0.24205336960013449</v>
      </c>
      <c r="F174" s="157">
        <f t="shared" si="88"/>
        <v>0.1188841288941629</v>
      </c>
      <c r="G174" s="157">
        <f t="shared" si="88"/>
        <v>0.17463741950505904</v>
      </c>
      <c r="H174" s="263">
        <f t="shared" si="88"/>
        <v>0.86880656848844395</v>
      </c>
      <c r="I174" s="158">
        <f t="shared" si="88"/>
        <v>0.23428300171136376</v>
      </c>
      <c r="J174" s="89">
        <f t="shared" si="87"/>
        <v>-0.27566409019877591</v>
      </c>
      <c r="K174" s="89"/>
    </row>
    <row r="175" spans="2:12" x14ac:dyDescent="0.2">
      <c r="B175" s="61" t="s">
        <v>268</v>
      </c>
      <c r="C175" s="122">
        <f>'Aramex Courier'!$T$13</f>
        <v>11754.558475360833</v>
      </c>
      <c r="D175" s="122"/>
      <c r="E175" s="122"/>
      <c r="F175" s="122">
        <f>'Aramex Freight'!$T$12</f>
        <v>3406.1560786689597</v>
      </c>
      <c r="G175" s="122">
        <f>'Aramex Logistics'!$T$12</f>
        <v>1789.4492625596879</v>
      </c>
      <c r="H175" s="262">
        <f>'[15]Sum Per Produc-24 Vs 23 Express'!$AB$18*3.6726*(('2024 IR Data Book'!$A$5))</f>
        <v>1598.4435019155608</v>
      </c>
      <c r="I175" s="122">
        <f>C175+F175+G175+H175</f>
        <v>18548.607318505041</v>
      </c>
      <c r="J175" s="89"/>
      <c r="K175" s="89">
        <f>I175-'Group Profit &amp; Loss Stm'!T16</f>
        <v>6.921669899020344E-2</v>
      </c>
    </row>
    <row r="176" spans="2:12" x14ac:dyDescent="0.2">
      <c r="B176" s="61" t="s">
        <v>210</v>
      </c>
      <c r="C176" s="157">
        <f>C175/C172</f>
        <v>4.2702101997706271E-2</v>
      </c>
      <c r="D176" s="157"/>
      <c r="E176" s="157"/>
      <c r="F176" s="157">
        <f t="shared" ref="F176:I176" si="89">F175/F172</f>
        <v>2.7818194937608502E-2</v>
      </c>
      <c r="G176" s="157">
        <f t="shared" si="89"/>
        <v>5.5546776118009997E-2</v>
      </c>
      <c r="H176" s="263">
        <f t="shared" si="89"/>
        <v>0.43794888474836408</v>
      </c>
      <c r="I176" s="158">
        <f t="shared" si="89"/>
        <v>4.2780390240264962E-2</v>
      </c>
      <c r="J176" s="89"/>
      <c r="K176" s="89"/>
    </row>
    <row r="177" spans="2:11" x14ac:dyDescent="0.2">
      <c r="B177" s="61" t="s">
        <v>211</v>
      </c>
      <c r="C177" s="156">
        <f>'Aramex Courier'!$T$15</f>
        <v>27667.240593222879</v>
      </c>
      <c r="D177" s="156"/>
      <c r="E177" s="156"/>
      <c r="F177" s="156">
        <f>'Aramex Freight'!$T$14</f>
        <v>5395.5015146091027</v>
      </c>
      <c r="G177" s="156">
        <f>'Aramex Logistics'!$T$14</f>
        <v>7949.1678116571602</v>
      </c>
      <c r="H177" s="264">
        <f>('[15]Sum Per Produc-24 Vs 23 Express'!$AB$22*3.6726)*(('2024 IR Data Book'!$A$5))</f>
        <v>1674.4474651985201</v>
      </c>
      <c r="I177" s="122">
        <f>C177+F177+G177+H177</f>
        <v>42686.357384687668</v>
      </c>
      <c r="J177" s="89"/>
      <c r="K177" s="89"/>
    </row>
    <row r="178" spans="2:11" x14ac:dyDescent="0.2">
      <c r="B178" s="123" t="s">
        <v>212</v>
      </c>
      <c r="C178" s="159">
        <f>C177/C172</f>
        <v>0.10050988578459689</v>
      </c>
      <c r="D178" s="159"/>
      <c r="E178" s="159"/>
      <c r="F178" s="159">
        <f t="shared" ref="F178:I178" si="90">F177/F172</f>
        <v>4.4065248172130318E-2</v>
      </c>
      <c r="G178" s="159">
        <f t="shared" si="90"/>
        <v>0.24675225724310448</v>
      </c>
      <c r="H178" s="265">
        <f t="shared" si="90"/>
        <v>0.45877279933548476</v>
      </c>
      <c r="I178" s="159">
        <f t="shared" si="90"/>
        <v>9.845154385421187E-2</v>
      </c>
      <c r="J178" s="89"/>
      <c r="K178" s="89"/>
    </row>
  </sheetData>
  <mergeCells count="19">
    <mergeCell ref="C170:I170"/>
    <mergeCell ref="C77:I77"/>
    <mergeCell ref="C53:I53"/>
    <mergeCell ref="C159:I159"/>
    <mergeCell ref="C65:I65"/>
    <mergeCell ref="L5:P5"/>
    <mergeCell ref="C18:I18"/>
    <mergeCell ref="L18:P18"/>
    <mergeCell ref="C31:I31"/>
    <mergeCell ref="L31:P31"/>
    <mergeCell ref="C5:I5"/>
    <mergeCell ref="C42:I42"/>
    <mergeCell ref="C148:I148"/>
    <mergeCell ref="C137:I137"/>
    <mergeCell ref="L42:P42"/>
    <mergeCell ref="C125:I125"/>
    <mergeCell ref="C113:I113"/>
    <mergeCell ref="C101:I101"/>
    <mergeCell ref="C89:I89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 I152:I154 I141:I143 I129:I131 I163 I16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N42"/>
  <sheetViews>
    <sheetView showGridLines="0" workbookViewId="0">
      <pane xSplit="2" ySplit="4" topLeftCell="C21" activePane="bottomRight" state="frozen"/>
      <selection pane="topRight" activeCell="B7" sqref="B7"/>
      <selection pane="bottomLeft" activeCell="B7" sqref="B7"/>
      <selection pane="bottomRight" activeCell="H60" sqref="H60"/>
    </sheetView>
  </sheetViews>
  <sheetFormatPr defaultColWidth="9.140625" defaultRowHeight="12.75" x14ac:dyDescent="0.2"/>
  <cols>
    <col min="1" max="1" width="5.42578125" style="1" customWidth="1"/>
    <col min="2" max="2" width="47.28515625" style="1" customWidth="1"/>
    <col min="3" max="5" width="10" style="1" bestFit="1" customWidth="1"/>
    <col min="6" max="7" width="12" style="1" customWidth="1"/>
    <col min="8" max="8" width="8.7109375" style="1" customWidth="1"/>
    <col min="9" max="9" width="39" style="1" bestFit="1" customWidth="1"/>
    <col min="10" max="10" width="9" style="1" bestFit="1" customWidth="1"/>
    <col min="11" max="11" width="9.5703125" style="1" bestFit="1" customWidth="1"/>
    <col min="12" max="12" width="10.140625" style="1" customWidth="1"/>
    <col min="13" max="13" width="9.140625" style="1"/>
    <col min="14" max="14" width="12" style="1" bestFit="1" customWidth="1"/>
    <col min="15" max="16384" width="9.140625" style="1"/>
  </cols>
  <sheetData>
    <row r="1" spans="1:14" x14ac:dyDescent="0.2">
      <c r="A1" s="161">
        <f>'2024 IR Data Book'!$A$5</f>
        <v>0.27228666339922669</v>
      </c>
      <c r="C1" s="2"/>
      <c r="D1" s="2"/>
      <c r="E1" s="2"/>
      <c r="F1" s="2"/>
      <c r="G1" s="2"/>
    </row>
    <row r="2" spans="1:14" x14ac:dyDescent="0.2">
      <c r="B2" s="3" t="s">
        <v>337</v>
      </c>
      <c r="C2" s="4"/>
      <c r="D2" s="4"/>
      <c r="E2" s="4"/>
      <c r="F2" s="4"/>
      <c r="G2" s="4"/>
    </row>
    <row r="4" spans="1:14" ht="25.5" x14ac:dyDescent="0.2">
      <c r="B4" s="93" t="s">
        <v>267</v>
      </c>
      <c r="C4" s="94" t="s">
        <v>273</v>
      </c>
      <c r="D4" s="94" t="s">
        <v>274</v>
      </c>
      <c r="E4" s="94" t="s">
        <v>275</v>
      </c>
      <c r="F4" s="94" t="s">
        <v>276</v>
      </c>
      <c r="G4" s="95" t="s">
        <v>277</v>
      </c>
      <c r="I4" s="96" t="s">
        <v>278</v>
      </c>
      <c r="J4" s="97" t="s">
        <v>273</v>
      </c>
      <c r="K4" s="97" t="s">
        <v>274</v>
      </c>
      <c r="L4" s="97" t="s">
        <v>275</v>
      </c>
      <c r="M4" s="97" t="s">
        <v>276</v>
      </c>
      <c r="N4" s="98" t="s">
        <v>277</v>
      </c>
    </row>
    <row r="5" spans="1:14" x14ac:dyDescent="0.2">
      <c r="B5" s="15" t="s">
        <v>279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9" t="s">
        <v>280</v>
      </c>
      <c r="J5" s="100">
        <v>20</v>
      </c>
      <c r="K5" s="100">
        <v>20</v>
      </c>
      <c r="L5" s="100">
        <v>22</v>
      </c>
      <c r="M5" s="101">
        <v>25</v>
      </c>
      <c r="N5" s="102">
        <v>88</v>
      </c>
    </row>
    <row r="6" spans="1:14" x14ac:dyDescent="0.2">
      <c r="B6" s="17" t="s">
        <v>281</v>
      </c>
      <c r="C6" s="8">
        <f>500411.542893547*('2024 IR Data Book'!$A$5)</f>
        <v>136255.38934094293</v>
      </c>
      <c r="D6" s="8">
        <f>527816.532850836*('2024 IR Data Book'!$A$5)</f>
        <v>143717.40261690249</v>
      </c>
      <c r="E6" s="8">
        <f>542630.923505683*('2024 IR Data Book'!$A$5)</f>
        <v>147751.16361860343</v>
      </c>
      <c r="F6" s="9">
        <f>701828.936519285*('2024 IR Data Book'!$A$5)</f>
        <v>191098.65940186378</v>
      </c>
      <c r="G6" s="10">
        <f>SUM(C6:F6)</f>
        <v>618822.61497831263</v>
      </c>
      <c r="I6" s="103" t="s">
        <v>282</v>
      </c>
      <c r="J6" s="104">
        <v>5</v>
      </c>
      <c r="K6" s="104">
        <v>5</v>
      </c>
      <c r="L6" s="104">
        <v>5</v>
      </c>
      <c r="M6" s="105">
        <v>6</v>
      </c>
      <c r="N6" s="106">
        <v>21</v>
      </c>
    </row>
    <row r="7" spans="1:14" x14ac:dyDescent="0.2">
      <c r="B7" s="18" t="s">
        <v>283</v>
      </c>
      <c r="C7" s="5">
        <f>265378.290165621*('2024 IR Data Book'!$A$5)</f>
        <v>72258.969167788746</v>
      </c>
      <c r="D7" s="5">
        <f>261768.409593944*('2024 IR Data Book'!$A$5)</f>
        <v>71276.046831657135</v>
      </c>
      <c r="E7" s="5">
        <f>254263.471016093*('2024 IR Data Book'!$A$5)</f>
        <v>69232.552147277951</v>
      </c>
      <c r="F7" s="6">
        <f>269909.315391154*('2024 IR Data Book'!$A$5)</f>
        <v>73492.706908226872</v>
      </c>
      <c r="G7" s="11">
        <f t="shared" ref="G7" si="1">SUM(C7:F7)</f>
        <v>286260.27505495067</v>
      </c>
      <c r="I7" s="107" t="s">
        <v>284</v>
      </c>
      <c r="J7" s="108">
        <v>15</v>
      </c>
      <c r="K7" s="108">
        <v>15</v>
      </c>
      <c r="L7" s="108">
        <v>17</v>
      </c>
      <c r="M7" s="109">
        <v>19</v>
      </c>
      <c r="N7" s="110">
        <v>67</v>
      </c>
    </row>
    <row r="8" spans="1:14" x14ac:dyDescent="0.2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ht="25.5" x14ac:dyDescent="0.2">
      <c r="B9" s="93" t="s">
        <v>267</v>
      </c>
      <c r="C9" s="94" t="s">
        <v>285</v>
      </c>
      <c r="D9" s="94" t="s">
        <v>286</v>
      </c>
      <c r="E9" s="94" t="s">
        <v>287</v>
      </c>
      <c r="F9" s="94" t="s">
        <v>288</v>
      </c>
      <c r="G9" s="94" t="s">
        <v>289</v>
      </c>
      <c r="I9" s="96" t="s">
        <v>278</v>
      </c>
      <c r="J9" s="97" t="s">
        <v>285</v>
      </c>
      <c r="K9" s="97" t="s">
        <v>286</v>
      </c>
      <c r="L9" s="97" t="s">
        <v>287</v>
      </c>
      <c r="M9" s="97" t="s">
        <v>288</v>
      </c>
      <c r="N9" s="111" t="s">
        <v>289</v>
      </c>
    </row>
    <row r="10" spans="1:14" x14ac:dyDescent="0.2">
      <c r="B10" s="15" t="s">
        <v>279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9" t="s">
        <v>280</v>
      </c>
      <c r="J10" s="112">
        <v>21</v>
      </c>
      <c r="K10" s="112">
        <v>23</v>
      </c>
      <c r="L10" s="112">
        <v>24</v>
      </c>
      <c r="M10" s="112">
        <v>29</v>
      </c>
      <c r="N10" s="113">
        <v>97</v>
      </c>
    </row>
    <row r="11" spans="1:14" x14ac:dyDescent="0.2">
      <c r="B11" s="17" t="s">
        <v>281</v>
      </c>
      <c r="C11" s="8">
        <f>533005.978333014*('2024 IR Data Book'!$A$5)</f>
        <v>145130.41941213689</v>
      </c>
      <c r="D11" s="8">
        <f>586348.531544673*('2024 IR Data Book'!$A$5)</f>
        <v>159654.88524333524</v>
      </c>
      <c r="E11" s="8">
        <f>556350.512051748*('2024 IR Data Book'!$A$5)</f>
        <v>151486.82460702173</v>
      </c>
      <c r="F11" s="9">
        <f>673427.373818058*('2024 IR Data Book'!$A$5)</f>
        <v>183365.29265862278</v>
      </c>
      <c r="G11" s="10">
        <f>SUM(C11:F11)</f>
        <v>639637.42192111677</v>
      </c>
      <c r="I11" s="103" t="s">
        <v>282</v>
      </c>
      <c r="J11" s="104">
        <v>5</v>
      </c>
      <c r="K11" s="114">
        <v>6</v>
      </c>
      <c r="L11" s="114">
        <v>6</v>
      </c>
      <c r="M11" s="114">
        <v>7</v>
      </c>
      <c r="N11" s="115">
        <v>24</v>
      </c>
    </row>
    <row r="12" spans="1:14" x14ac:dyDescent="0.2">
      <c r="B12" s="18" t="s">
        <v>283</v>
      </c>
      <c r="C12" s="5">
        <f>256636.826281034*('2024 IR Data Book'!$A$5)</f>
        <v>69878.785133429716</v>
      </c>
      <c r="D12" s="5">
        <f>257180.778167532*('2024 IR Data Book'!$A$5)</f>
        <v>70026.89597765397</v>
      </c>
      <c r="E12" s="5">
        <f>270547.095282539*('2024 IR Data Book'!$A$5)</f>
        <v>73666.365866835215</v>
      </c>
      <c r="F12" s="6">
        <f>323961.647366464*('2024 IR Data Book'!$A$5)</f>
        <v>88210.436030731362</v>
      </c>
      <c r="G12" s="11">
        <f t="shared" ref="G12" si="3">SUM(C12:F12)</f>
        <v>301782.48300865025</v>
      </c>
      <c r="I12" s="107" t="s">
        <v>284</v>
      </c>
      <c r="J12" s="116">
        <v>16</v>
      </c>
      <c r="K12" s="116">
        <v>17</v>
      </c>
      <c r="L12" s="116">
        <v>18</v>
      </c>
      <c r="M12" s="116">
        <v>22</v>
      </c>
      <c r="N12" s="117">
        <v>73</v>
      </c>
    </row>
    <row r="13" spans="1:14" x14ac:dyDescent="0.2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ht="25.5" x14ac:dyDescent="0.2">
      <c r="B14" s="93" t="s">
        <v>267</v>
      </c>
      <c r="C14" s="94" t="s">
        <v>290</v>
      </c>
      <c r="D14" s="94" t="s">
        <v>291</v>
      </c>
      <c r="E14" s="94" t="s">
        <v>292</v>
      </c>
      <c r="F14" s="94" t="s">
        <v>293</v>
      </c>
      <c r="G14" s="94" t="s">
        <v>294</v>
      </c>
      <c r="I14" s="96" t="s">
        <v>278</v>
      </c>
      <c r="J14" s="97" t="s">
        <v>290</v>
      </c>
      <c r="K14" s="97" t="s">
        <v>291</v>
      </c>
      <c r="L14" s="97" t="s">
        <v>292</v>
      </c>
      <c r="M14" s="97" t="s">
        <v>293</v>
      </c>
      <c r="N14" s="111" t="s">
        <v>294</v>
      </c>
    </row>
    <row r="15" spans="1:14" x14ac:dyDescent="0.2">
      <c r="B15" s="15" t="s">
        <v>279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9" t="s">
        <v>280</v>
      </c>
      <c r="J15" s="112">
        <v>24.89</v>
      </c>
      <c r="K15" s="112">
        <v>29</v>
      </c>
      <c r="L15" s="112">
        <v>32.616999999999997</v>
      </c>
      <c r="M15" s="112">
        <v>35</v>
      </c>
      <c r="N15" s="113">
        <v>121.50700000000001</v>
      </c>
    </row>
    <row r="16" spans="1:14" x14ac:dyDescent="0.2">
      <c r="B16" s="17" t="s">
        <v>281</v>
      </c>
      <c r="C16" s="8">
        <f>479423.365217863*('2024 IR Data Book'!$A$5)</f>
        <v>130540.58847080079</v>
      </c>
      <c r="D16" s="8">
        <f>582164.588216127*('2024 IR Data Book'!$A$5)</f>
        <v>158515.653274554</v>
      </c>
      <c r="E16" s="8">
        <f>715248.567909872*('2024 IR Data Book'!$A$5)</f>
        <v>194752.64605725426</v>
      </c>
      <c r="F16" s="9">
        <f>796492.326933316*('2024 IR Data Book'!$A$5)</f>
        <v>216874.23812375861</v>
      </c>
      <c r="G16" s="10">
        <f>SUM(C16:F16)</f>
        <v>700683.12592636759</v>
      </c>
      <c r="I16" s="103" t="s">
        <v>282</v>
      </c>
      <c r="J16" s="114">
        <v>5.19</v>
      </c>
      <c r="K16" s="114">
        <v>6</v>
      </c>
      <c r="L16" s="114">
        <v>6.53</v>
      </c>
      <c r="M16" s="114">
        <v>7</v>
      </c>
      <c r="N16" s="115">
        <v>24.720000000000002</v>
      </c>
    </row>
    <row r="17" spans="2:14" x14ac:dyDescent="0.2">
      <c r="B17" s="18" t="s">
        <v>283</v>
      </c>
      <c r="C17" s="5">
        <f>288990.698490684*('2024 IR Data Book'!$A$5)</f>
        <v>78688.313045440271</v>
      </c>
      <c r="D17" s="5">
        <f>336258.622364699*('2024 IR Data Book'!$A$5)</f>
        <v>91558.738322904479</v>
      </c>
      <c r="E17" s="5">
        <f>350223.788343033*('2024 IR Data Book'!$A$5)</f>
        <v>95361.266770961432</v>
      </c>
      <c r="F17" s="6">
        <f>386595.516885597*('2024 IR Data Book'!$A$5)</f>
        <v>105264.80337787862</v>
      </c>
      <c r="G17" s="11">
        <f t="shared" ref="G17" si="5">SUM(C17:F17)</f>
        <v>370873.12151718477</v>
      </c>
      <c r="I17" s="107" t="s">
        <v>284</v>
      </c>
      <c r="J17" s="116">
        <v>19.7</v>
      </c>
      <c r="K17" s="116">
        <v>23</v>
      </c>
      <c r="L17" s="116">
        <v>26.087</v>
      </c>
      <c r="M17" s="116">
        <v>28</v>
      </c>
      <c r="N17" s="249">
        <v>96.787000000000006</v>
      </c>
    </row>
    <row r="18" spans="2:14" x14ac:dyDescent="0.2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ht="25.5" x14ac:dyDescent="0.2">
      <c r="B19" s="93" t="s">
        <v>267</v>
      </c>
      <c r="C19" s="94" t="s">
        <v>295</v>
      </c>
      <c r="D19" s="94" t="s">
        <v>296</v>
      </c>
      <c r="E19" s="94" t="s">
        <v>297</v>
      </c>
      <c r="F19" s="94" t="s">
        <v>298</v>
      </c>
      <c r="G19" s="94" t="s">
        <v>299</v>
      </c>
      <c r="I19" s="96" t="s">
        <v>278</v>
      </c>
      <c r="J19" s="97" t="s">
        <v>295</v>
      </c>
      <c r="K19" s="97" t="s">
        <v>296</v>
      </c>
      <c r="L19" s="97" t="s">
        <v>297</v>
      </c>
      <c r="M19" s="97" t="s">
        <v>298</v>
      </c>
      <c r="N19" s="111" t="s">
        <v>299</v>
      </c>
    </row>
    <row r="20" spans="2:14" x14ac:dyDescent="0.2">
      <c r="B20" s="15" t="s">
        <v>279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9" t="s">
        <v>280</v>
      </c>
      <c r="J20" s="112">
        <v>31.46</v>
      </c>
      <c r="K20" s="112">
        <v>33</v>
      </c>
      <c r="L20" s="112">
        <v>33.9</v>
      </c>
      <c r="M20" s="112">
        <v>35.489339000000001</v>
      </c>
      <c r="N20" s="113">
        <v>133.84933899999999</v>
      </c>
    </row>
    <row r="21" spans="2:14" x14ac:dyDescent="0.2">
      <c r="B21" s="17" t="s">
        <v>281</v>
      </c>
      <c r="C21" s="8">
        <f>646524.386045871*('2024 IR Data Book'!$A$5)</f>
        <v>176039.96788266377</v>
      </c>
      <c r="D21" s="8">
        <f>733555.542145953*('2024 IR Data Book'!$A$5)</f>
        <v>199737.39098893237</v>
      </c>
      <c r="E21" s="8">
        <f>608876.826084214*('2024 IR Data Book'!$A$5)</f>
        <v>165789.03939558187</v>
      </c>
      <c r="F21" s="9">
        <f>671392.92795456*('2024 IR Data Book'!$A$5)</f>
        <v>182811.34018258454</v>
      </c>
      <c r="G21" s="10">
        <f>SUM(C21:F21)</f>
        <v>724377.73844976258</v>
      </c>
      <c r="I21" s="103" t="s">
        <v>282</v>
      </c>
      <c r="J21" s="114">
        <v>6.2</v>
      </c>
      <c r="K21" s="114">
        <v>7.2</v>
      </c>
      <c r="L21" s="114">
        <v>6.3</v>
      </c>
      <c r="M21" s="114">
        <v>6.0524940000000003</v>
      </c>
      <c r="N21" s="115">
        <v>25.752493999999999</v>
      </c>
    </row>
    <row r="22" spans="2:14" x14ac:dyDescent="0.2">
      <c r="B22" s="18" t="s">
        <v>283</v>
      </c>
      <c r="C22" s="5">
        <f>355617.764045358*('2024 IR Data Book'!$A$5)</f>
        <v>96829.97441740401</v>
      </c>
      <c r="D22" s="5">
        <f>367225.924498856*('2024 IR Data Book'!$A$5)</f>
        <v>99990.721695489847</v>
      </c>
      <c r="E22" s="5">
        <f>460774.931293178*('2024 IR Data Book'!$A$5)</f>
        <v>125462.86861982736</v>
      </c>
      <c r="F22" s="6">
        <f>372250.780937668*('2024 IR Data Book'!$A$5)</f>
        <v>101358.92308927407</v>
      </c>
      <c r="G22" s="11">
        <f t="shared" ref="G22" si="7">SUM(C22:F22)</f>
        <v>423642.48782199534</v>
      </c>
      <c r="I22" s="107" t="s">
        <v>284</v>
      </c>
      <c r="J22" s="116">
        <v>25.26</v>
      </c>
      <c r="K22" s="116">
        <v>25.8</v>
      </c>
      <c r="L22" s="116">
        <v>27.6</v>
      </c>
      <c r="M22" s="116">
        <v>29.436845000000002</v>
      </c>
      <c r="N22" s="249">
        <v>108.096845</v>
      </c>
    </row>
    <row r="23" spans="2:14" x14ac:dyDescent="0.2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2">
      <c r="B24" s="93" t="s">
        <v>267</v>
      </c>
      <c r="C24" s="94" t="s">
        <v>300</v>
      </c>
      <c r="D24" s="94" t="s">
        <v>301</v>
      </c>
      <c r="E24" s="94" t="s">
        <v>302</v>
      </c>
      <c r="F24" s="94" t="s">
        <v>303</v>
      </c>
      <c r="G24" s="94" t="s">
        <v>304</v>
      </c>
      <c r="I24" s="96" t="s">
        <v>278</v>
      </c>
      <c r="J24" s="97" t="s">
        <v>300</v>
      </c>
      <c r="K24" s="97" t="s">
        <v>301</v>
      </c>
      <c r="L24" s="97" t="s">
        <v>302</v>
      </c>
      <c r="M24" s="97" t="s">
        <v>305</v>
      </c>
      <c r="N24" s="111" t="s">
        <v>304</v>
      </c>
    </row>
    <row r="25" spans="2:14" x14ac:dyDescent="0.2">
      <c r="B25" s="15" t="s">
        <v>279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9" t="s">
        <v>280</v>
      </c>
      <c r="J25" s="112">
        <f>J26+J27</f>
        <v>30.348113000000001</v>
      </c>
      <c r="K25" s="112">
        <f>K26+K27</f>
        <v>30.031293999999999</v>
      </c>
      <c r="L25" s="112">
        <f>L26+L27</f>
        <v>29.605456</v>
      </c>
      <c r="M25" s="112">
        <f t="shared" ref="M25:N25" si="9">M26+M27</f>
        <v>32.288510000000002</v>
      </c>
      <c r="N25" s="112">
        <f t="shared" si="9"/>
        <v>122.27337300000001</v>
      </c>
    </row>
    <row r="26" spans="2:14" x14ac:dyDescent="0.2">
      <c r="B26" s="17" t="s">
        <v>281</v>
      </c>
      <c r="C26" s="8">
        <f>'Aramex Express+Parcel Forwardin'!H7</f>
        <v>152201.99999999997</v>
      </c>
      <c r="D26" s="8">
        <f>'Aramex Express+Parcel Forwardin'!I7</f>
        <v>160222.25547525755</v>
      </c>
      <c r="E26" s="8">
        <f>'Aramex Express+Parcel Forwardin'!J7</f>
        <v>134489.68551409029</v>
      </c>
      <c r="F26" s="8">
        <f>607548.926899381*(('2024 IR Data Book'!$A$5))</f>
        <v>165427.47015721313</v>
      </c>
      <c r="G26" s="10">
        <f>SUM(C26:F26)</f>
        <v>612341.41114656092</v>
      </c>
      <c r="H26" s="4"/>
      <c r="I26" s="103" t="s">
        <v>282</v>
      </c>
      <c r="J26" s="114">
        <v>5.3397690000000004</v>
      </c>
      <c r="K26" s="114">
        <v>5.9301339999999998</v>
      </c>
      <c r="L26" s="114">
        <v>5.1237760000000003</v>
      </c>
      <c r="M26" s="114">
        <v>5.8111730000000001</v>
      </c>
      <c r="N26" s="115">
        <f>SUM(J26:M26)</f>
        <v>22.204851999999999</v>
      </c>
    </row>
    <row r="27" spans="2:14" x14ac:dyDescent="0.2">
      <c r="B27" s="18" t="s">
        <v>283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382241.372666126*(('2024 IR Data Book'!$A$5))</f>
        <v>104079.22797639982</v>
      </c>
      <c r="G27" s="11">
        <f t="shared" ref="G27" si="10">SUM(C27:F27)</f>
        <v>408755.54073100374</v>
      </c>
      <c r="H27" s="4"/>
      <c r="I27" s="107" t="s">
        <v>284</v>
      </c>
      <c r="J27" s="116">
        <v>25.008344000000001</v>
      </c>
      <c r="K27" s="116">
        <v>24.10116</v>
      </c>
      <c r="L27" s="116">
        <v>24.481680000000001</v>
      </c>
      <c r="M27" s="116">
        <v>26.477336999999999</v>
      </c>
      <c r="N27" s="116">
        <f>SUM(J27:M27)</f>
        <v>100.068521</v>
      </c>
    </row>
    <row r="28" spans="2:14" x14ac:dyDescent="0.2">
      <c r="H28" s="242"/>
    </row>
    <row r="29" spans="2:14" ht="25.5" x14ac:dyDescent="0.2">
      <c r="B29" s="93" t="s">
        <v>267</v>
      </c>
      <c r="C29" s="94" t="s">
        <v>306</v>
      </c>
      <c r="D29" s="94" t="s">
        <v>307</v>
      </c>
      <c r="E29" s="94" t="s">
        <v>308</v>
      </c>
      <c r="F29" s="94" t="s">
        <v>309</v>
      </c>
      <c r="G29" s="94" t="s">
        <v>310</v>
      </c>
      <c r="I29" s="96" t="s">
        <v>278</v>
      </c>
      <c r="J29" s="97" t="str">
        <f>C29</f>
        <v>1st Qrt'23</v>
      </c>
      <c r="K29" s="97" t="str">
        <f>D29</f>
        <v>2nd Qrt'23</v>
      </c>
      <c r="L29" s="97" t="str">
        <f>E29</f>
        <v>3rd Qrt'23</v>
      </c>
      <c r="M29" s="97" t="str">
        <f>F29</f>
        <v>4th Qrt'23</v>
      </c>
      <c r="N29" s="111" t="str">
        <f>G29</f>
        <v>Full year 2023</v>
      </c>
    </row>
    <row r="30" spans="2:14" x14ac:dyDescent="0.2">
      <c r="B30" s="15" t="s">
        <v>279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>
        <f>F31+F32</f>
        <v>277069.17126522225</v>
      </c>
      <c r="G30" s="7">
        <f>SUM(C30:F30)</f>
        <v>1013661.0114038382</v>
      </c>
      <c r="I30" s="99" t="s">
        <v>280</v>
      </c>
      <c r="J30" s="112">
        <f>J31+J32</f>
        <v>30.013763000000001</v>
      </c>
      <c r="K30" s="112">
        <f>K31+K32</f>
        <v>29.723403000000001</v>
      </c>
      <c r="L30" s="112">
        <f>L31+L32</f>
        <v>29.394833000000002</v>
      </c>
      <c r="M30" s="112">
        <f>M31+M32</f>
        <v>34.206263999999997</v>
      </c>
      <c r="N30" s="112">
        <f t="shared" ref="N30" si="11">N31+N32</f>
        <v>123.338263</v>
      </c>
    </row>
    <row r="31" spans="2:14" x14ac:dyDescent="0.2">
      <c r="B31" s="17" t="s">
        <v>281</v>
      </c>
      <c r="C31" s="8">
        <f>'Aramex Express+Parcel Forwardin'!M7</f>
        <v>154272.42826484697</v>
      </c>
      <c r="D31" s="8">
        <f>'Aramex Express+Parcel Forwardin'!N7</f>
        <v>152764.03205798916</v>
      </c>
      <c r="E31" s="8">
        <f>'Aramex Express+Parcel Forwardin'!O7</f>
        <v>139397.4170192953</v>
      </c>
      <c r="F31" s="8">
        <f>'Aramex Express+Parcel Forwardin'!P7</f>
        <v>178576.12708504731</v>
      </c>
      <c r="G31" s="10">
        <f>SUM(C31:F31)</f>
        <v>625010.00442717876</v>
      </c>
      <c r="I31" s="103" t="s">
        <v>282</v>
      </c>
      <c r="J31" s="114">
        <f>'Aramex Courier'!M20/1000000</f>
        <v>5.3936590000000004</v>
      </c>
      <c r="K31" s="114">
        <f>'Aramex Courier'!N20/1000000</f>
        <v>5.491225</v>
      </c>
      <c r="L31" s="114">
        <f>'Aramex Courier'!O20/1000000</f>
        <v>4.8525600000000004</v>
      </c>
      <c r="M31" s="114">
        <f>'Aramex Courier'!P20/1000000</f>
        <v>7.6101720000000004</v>
      </c>
      <c r="N31" s="115">
        <f>SUM(J31:M31)</f>
        <v>23.347616000000002</v>
      </c>
    </row>
    <row r="32" spans="2:14" x14ac:dyDescent="0.2">
      <c r="B32" s="18" t="s">
        <v>283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>
        <f>'Aramex Domestic'!P7</f>
        <v>98493.04418017494</v>
      </c>
      <c r="G32" s="11">
        <f t="shared" ref="G32" si="12">SUM(C32:F32)</f>
        <v>388651.00697665941</v>
      </c>
      <c r="H32" s="4"/>
      <c r="I32" s="107" t="s">
        <v>284</v>
      </c>
      <c r="J32" s="116">
        <f>'Aramex Courier'!M19/1000000</f>
        <v>24.620104000000001</v>
      </c>
      <c r="K32" s="116">
        <f>'Aramex Courier'!N19/1000000</f>
        <v>24.232178000000001</v>
      </c>
      <c r="L32" s="116">
        <f>'Aramex Courier'!O19/1000000</f>
        <v>24.542273000000002</v>
      </c>
      <c r="M32" s="116">
        <f>'Aramex Courier'!P19/1000000</f>
        <v>26.596091999999999</v>
      </c>
      <c r="N32" s="116">
        <f>SUM(J32:M32)</f>
        <v>99.990646999999996</v>
      </c>
    </row>
    <row r="34" spans="2:14" ht="25.5" x14ac:dyDescent="0.2">
      <c r="B34" s="93" t="s">
        <v>267</v>
      </c>
      <c r="C34" s="94" t="s">
        <v>311</v>
      </c>
      <c r="D34" s="94" t="s">
        <v>312</v>
      </c>
      <c r="E34" s="94" t="s">
        <v>313</v>
      </c>
      <c r="F34" s="94" t="s">
        <v>314</v>
      </c>
      <c r="G34" s="94" t="s">
        <v>315</v>
      </c>
      <c r="I34" s="96" t="s">
        <v>278</v>
      </c>
      <c r="J34" s="97" t="str">
        <f>C34</f>
        <v>1st Qrt'24</v>
      </c>
      <c r="K34" s="97" t="str">
        <f>D34</f>
        <v>2nd Qrt'24</v>
      </c>
      <c r="L34" s="97" t="str">
        <f>E34</f>
        <v>3rd Qrt'24</v>
      </c>
      <c r="M34" s="97" t="str">
        <f>F34</f>
        <v>4th Qrt'24</v>
      </c>
      <c r="N34" s="111" t="str">
        <f>G34</f>
        <v>Full year 2024</v>
      </c>
    </row>
    <row r="35" spans="2:14" x14ac:dyDescent="0.2">
      <c r="B35" s="15" t="s">
        <v>279</v>
      </c>
      <c r="C35" s="5">
        <f>C36+C37</f>
        <v>279368.72731729213</v>
      </c>
      <c r="D35" s="5">
        <f>D36+D37</f>
        <v>262858.41802154307</v>
      </c>
      <c r="E35" s="5">
        <f>E36+E37</f>
        <v>275268.84920073085</v>
      </c>
      <c r="F35" s="5">
        <f>F36+F37</f>
        <v>0</v>
      </c>
      <c r="G35" s="7">
        <f>SUM(C35:F35)</f>
        <v>817495.99453956611</v>
      </c>
      <c r="I35" s="99" t="s">
        <v>280</v>
      </c>
      <c r="J35" s="112">
        <f>J36+J37</f>
        <v>33.996184</v>
      </c>
      <c r="K35" s="112">
        <f>K36+K37</f>
        <v>31.760967999999998</v>
      </c>
      <c r="L35" s="112">
        <f>L36+L37</f>
        <v>35.383757000000003</v>
      </c>
      <c r="M35" s="112">
        <f>M36+M37</f>
        <v>0</v>
      </c>
      <c r="N35" s="112">
        <f t="shared" ref="N35" si="13">N36+N37</f>
        <v>101.14090899999999</v>
      </c>
    </row>
    <row r="36" spans="2:14" x14ac:dyDescent="0.2">
      <c r="B36" s="17" t="s">
        <v>316</v>
      </c>
      <c r="C36" s="8">
        <f>'Aramex Express+Parcel Forwardin'!R7</f>
        <v>175844.14032247599</v>
      </c>
      <c r="D36" s="8">
        <f>'Aramex Express+Parcel Forwardin'!S7</f>
        <v>160458.43771856109</v>
      </c>
      <c r="E36" s="8">
        <f>'Aramex Express+Parcel Forwardin'!T7</f>
        <v>153111.98517815402</v>
      </c>
      <c r="F36" s="8"/>
      <c r="G36" s="10">
        <f>SUM(C36:F36)</f>
        <v>489414.5632191911</v>
      </c>
      <c r="I36" s="103" t="s">
        <v>282</v>
      </c>
      <c r="J36" s="114">
        <f>'Aramex Courier'!R20/1000000</f>
        <v>7.7678960000000004</v>
      </c>
      <c r="K36" s="114">
        <f>'Aramex Courier'!S20/1000000</f>
        <v>6.6521910000000002</v>
      </c>
      <c r="L36" s="114">
        <f>'Aramex Courier'!T20/1000000</f>
        <v>6.4957900000000004</v>
      </c>
      <c r="M36" s="114"/>
      <c r="N36" s="115">
        <f>SUM(J36:M36)</f>
        <v>20.915877000000002</v>
      </c>
    </row>
    <row r="37" spans="2:14" x14ac:dyDescent="0.2">
      <c r="B37" s="18" t="s">
        <v>283</v>
      </c>
      <c r="C37" s="5">
        <f>'Aramex Domestic'!R7</f>
        <v>103524.58699481611</v>
      </c>
      <c r="D37" s="5">
        <f>'Aramex Domestic'!S7</f>
        <v>102399.98030298199</v>
      </c>
      <c r="E37" s="5">
        <f>'Aramex Domestic'!T7</f>
        <v>122156.86402257682</v>
      </c>
      <c r="F37" s="5"/>
      <c r="G37" s="11">
        <f t="shared" ref="G37" si="14">SUM(C37:F37)</f>
        <v>328081.43132037495</v>
      </c>
      <c r="H37" s="4"/>
      <c r="I37" s="107" t="s">
        <v>284</v>
      </c>
      <c r="J37" s="116">
        <f>'Aramex Courier'!R19/1000000</f>
        <v>26.228287999999999</v>
      </c>
      <c r="K37" s="116">
        <f>'Aramex Courier'!S19/1000000</f>
        <v>25.108777</v>
      </c>
      <c r="L37" s="116">
        <f>'Aramex Courier'!T19/1000000</f>
        <v>28.887967</v>
      </c>
      <c r="M37" s="116"/>
      <c r="N37" s="116">
        <f>SUM(J37:M37)</f>
        <v>80.225031999999999</v>
      </c>
    </row>
    <row r="38" spans="2:14" hidden="1" x14ac:dyDescent="0.2">
      <c r="C38" s="8">
        <f>557745.393557364*('2024 IR Data Book'!$A$5)</f>
        <v>151866.63223802319</v>
      </c>
    </row>
    <row r="39" spans="2:14" hidden="1" x14ac:dyDescent="0.2">
      <c r="C39" s="5">
        <f>353346.525111743*('2024 IR Data Book'!$A$5)</f>
        <v>96211.546346387579</v>
      </c>
    </row>
    <row r="40" spans="2:14" hidden="1" x14ac:dyDescent="0.2"/>
    <row r="41" spans="2:14" hidden="1" x14ac:dyDescent="0.2">
      <c r="C41" s="4">
        <f>C26-C38</f>
        <v>335.3677619767841</v>
      </c>
    </row>
    <row r="42" spans="2:14" hidden="1" x14ac:dyDescent="0.2">
      <c r="C42" s="4">
        <f>C27-C39</f>
        <v>6342.6611804440909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Q18"/>
  <sheetViews>
    <sheetView showGridLines="0" workbookViewId="0">
      <selection activeCell="N30" sqref="N30"/>
    </sheetView>
  </sheetViews>
  <sheetFormatPr defaultColWidth="9.140625" defaultRowHeight="12.75" x14ac:dyDescent="0.2"/>
  <cols>
    <col min="1" max="1" width="9.140625" style="20"/>
    <col min="2" max="2" width="32" style="20" bestFit="1" customWidth="1"/>
    <col min="3" max="3" width="11.140625" style="20" customWidth="1"/>
    <col min="4" max="4" width="12.5703125" style="20" customWidth="1"/>
    <col min="5" max="5" width="12" style="20" customWidth="1"/>
    <col min="6" max="6" width="10.42578125" style="20" customWidth="1"/>
    <col min="7" max="7" width="11.5703125" style="20" customWidth="1"/>
    <col min="8" max="8" width="11.140625" style="20" customWidth="1"/>
    <col min="9" max="17" width="11" style="20" bestFit="1" customWidth="1"/>
    <col min="18" max="16384" width="9.140625" style="20"/>
  </cols>
  <sheetData>
    <row r="2" spans="2:17" x14ac:dyDescent="0.2">
      <c r="B2" s="212" t="s">
        <v>317</v>
      </c>
      <c r="C2" s="212" t="s">
        <v>76</v>
      </c>
      <c r="D2" s="212" t="s">
        <v>77</v>
      </c>
      <c r="E2" s="212" t="s">
        <v>78</v>
      </c>
      <c r="F2" s="212" t="s">
        <v>79</v>
      </c>
      <c r="G2" s="212" t="s">
        <v>80</v>
      </c>
      <c r="H2" s="212" t="s">
        <v>81</v>
      </c>
      <c r="I2" s="212" t="s">
        <v>82</v>
      </c>
      <c r="J2" s="212" t="s">
        <v>83</v>
      </c>
      <c r="K2" s="212" t="s">
        <v>84</v>
      </c>
      <c r="L2" s="212" t="s">
        <v>85</v>
      </c>
      <c r="M2" s="212" t="s">
        <v>86</v>
      </c>
      <c r="N2" s="212" t="s">
        <v>87</v>
      </c>
      <c r="O2" s="212" t="s">
        <v>88</v>
      </c>
      <c r="P2" s="212" t="s">
        <v>333</v>
      </c>
      <c r="Q2" s="212" t="s">
        <v>345</v>
      </c>
    </row>
    <row r="3" spans="2:17" x14ac:dyDescent="0.2">
      <c r="B3" s="20" t="s">
        <v>318</v>
      </c>
      <c r="C3" s="213">
        <f>'Group Profit &amp; Loss Stm'!C10/'Group Profit &amp; Loss Stm'!$C$8</f>
        <v>0.25169393929398792</v>
      </c>
      <c r="D3" s="213">
        <f>'Group Profit &amp; Loss Stm'!D10/'Group Profit &amp; Loss Stm'!$D$8</f>
        <v>0.24741187187405111</v>
      </c>
      <c r="E3" s="213">
        <f>'Group Profit &amp; Loss Stm'!E10/'Group Profit &amp; Loss Stm'!$E$8</f>
        <v>0.24365610057177886</v>
      </c>
      <c r="F3" s="213">
        <f>'Group Profit &amp; Loss Stm'!F10/'Group Profit &amp; Loss Stm'!$F$8</f>
        <v>0.20320561945214088</v>
      </c>
      <c r="G3" s="213">
        <f>'Group Profit &amp; Loss Stm'!H10/'Group Profit &amp; Loss Stm'!$H$8</f>
        <v>0.23748544556615778</v>
      </c>
      <c r="H3" s="213">
        <f>'Group Profit &amp; Loss Stm'!I10/'Group Profit &amp; Loss Stm'!$I$8</f>
        <v>0.24965421867526977</v>
      </c>
      <c r="I3" s="213">
        <f>'Group Profit &amp; Loss Stm'!J10/'Group Profit &amp; Loss Stm'!$J$8</f>
        <v>0.22494442913815538</v>
      </c>
      <c r="J3" s="213">
        <f>'Group Profit &amp; Loss Stm'!K10/'Group Profit &amp; Loss Stm'!$K$8</f>
        <v>0.24817199552935393</v>
      </c>
      <c r="K3" s="213">
        <f>'Group Profit &amp; Loss Stm'!$M$10/'Group Profit &amp; Loss Stm'!$M$8</f>
        <v>0.25008801980585349</v>
      </c>
      <c r="L3" s="213">
        <f>'Group Profit &amp; Loss Stm'!$N$10/'Group Profit &amp; Loss Stm'!$N$8</f>
        <v>0.24880197466706255</v>
      </c>
      <c r="M3" s="213">
        <f>'Group Profit &amp; Loss Stm'!$O$10/'Group Profit &amp; Loss Stm'!$O$8</f>
        <v>0.24795288552104761</v>
      </c>
      <c r="N3" s="213">
        <f>'Group Profit &amp; Loss Stm'!$P$10/'Group Profit &amp; Loss Stm'!$P$8</f>
        <v>0.25506878118933846</v>
      </c>
      <c r="O3" s="213">
        <f>'Group Profit &amp; Loss Stm'!$R$10/'Group Profit &amp; Loss Stm'!$R$8</f>
        <v>0.25663689045813837</v>
      </c>
      <c r="P3" s="213">
        <f>'Group Profit &amp; Loss Stm'!$S$10/'Group Profit &amp; Loss Stm'!$S$8</f>
        <v>0.23066345941702554</v>
      </c>
      <c r="Q3" s="213">
        <f>'Group Profit &amp; Loss Stm'!$T$10/'Group Profit &amp; Loss Stm'!$T$8</f>
        <v>0.23428300268201188</v>
      </c>
    </row>
    <row r="4" spans="2:17" x14ac:dyDescent="0.2">
      <c r="B4" s="20" t="s">
        <v>319</v>
      </c>
      <c r="C4" s="213">
        <f>'Group Profit &amp; Loss Stm'!C16/'Group Profit &amp; Loss Stm'!$C$8</f>
        <v>5.5760516459370392E-2</v>
      </c>
      <c r="D4" s="213">
        <f>'Group Profit &amp; Loss Stm'!D16/'Group Profit &amp; Loss Stm'!$D$8</f>
        <v>6.3371661118972716E-2</v>
      </c>
      <c r="E4" s="213">
        <f>'Group Profit &amp; Loss Stm'!E16/'Group Profit &amp; Loss Stm'!$E$8</f>
        <v>4.6542913526991823E-2</v>
      </c>
      <c r="F4" s="213">
        <f>'Group Profit &amp; Loss Stm'!F16/'Group Profit &amp; Loss Stm'!$F$8</f>
        <v>3.6393026567672911E-2</v>
      </c>
      <c r="G4" s="213">
        <f>'Group Profit &amp; Loss Stm'!H16/'Group Profit &amp; Loss Stm'!$H$8</f>
        <v>5.1766680577612842E-2</v>
      </c>
      <c r="H4" s="213">
        <f>'Group Profit &amp; Loss Stm'!I16/'Group Profit &amp; Loss Stm'!$I$8</f>
        <v>4.1915201644511686E-2</v>
      </c>
      <c r="I4" s="213">
        <f>'Group Profit &amp; Loss Stm'!J16/'Group Profit &amp; Loss Stm'!$J$8</f>
        <v>3.5693055943467625E-2</v>
      </c>
      <c r="J4" s="213">
        <f>'Group Profit &amp; Loss Stm'!K16/'Group Profit &amp; Loss Stm'!$K$8</f>
        <v>3.6401387436526149E-2</v>
      </c>
      <c r="K4" s="213">
        <f>'Group Profit &amp; Loss Stm'!$M$16/'Group Profit &amp; Loss Stm'!$M$8</f>
        <v>4.4009902926728448E-2</v>
      </c>
      <c r="L4" s="213">
        <f>'Group Profit &amp; Loss Stm'!$N$16/'Group Profit &amp; Loss Stm'!$N$8</f>
        <v>3.7989672933361369E-2</v>
      </c>
      <c r="M4" s="213">
        <f>'Group Profit &amp; Loss Stm'!$O$16/'Group Profit &amp; Loss Stm'!$O$8</f>
        <v>3.3125341640986093E-2</v>
      </c>
      <c r="N4" s="213">
        <f>'Group Profit &amp; Loss Stm'!$P$16/'Group Profit &amp; Loss Stm'!$P$8</f>
        <v>6.967838664291208E-2</v>
      </c>
      <c r="O4" s="213">
        <f>'Group Profit &amp; Loss Stm'!$R$16/'Group Profit &amp; Loss Stm'!$R$8</f>
        <v>5.9977153459172636E-2</v>
      </c>
      <c r="P4" s="213">
        <f>'Group Profit &amp; Loss Stm'!$S$16/'Group Profit &amp; Loss Stm'!$S$8</f>
        <v>3.1386248628048778E-2</v>
      </c>
      <c r="Q4" s="213">
        <f>'Group Profit &amp; Loss Stm'!$T$16/'Group Profit &amp; Loss Stm'!$T$8</f>
        <v>4.2780230704679081E-2</v>
      </c>
    </row>
    <row r="5" spans="2:17" x14ac:dyDescent="0.2">
      <c r="B5" s="20" t="s">
        <v>212</v>
      </c>
      <c r="C5" s="213">
        <v>0.1191944670761533</v>
      </c>
      <c r="D5" s="213">
        <v>0.12267394038048969</v>
      </c>
      <c r="E5" s="213">
        <v>0.11162854256833539</v>
      </c>
      <c r="F5" s="213">
        <v>9.2863373116938347E-2</v>
      </c>
      <c r="G5" s="213">
        <v>0.11728283799012065</v>
      </c>
      <c r="H5" s="213">
        <v>0.10255493410220939</v>
      </c>
      <c r="I5" s="213">
        <v>9.9110944862207243E-2</v>
      </c>
      <c r="J5" s="213">
        <v>9.6755640701973594E-2</v>
      </c>
      <c r="K5" s="213">
        <v>0.10699506618275484</v>
      </c>
      <c r="L5" s="213">
        <v>0.10317486160973684</v>
      </c>
      <c r="M5" s="213">
        <v>9.9183019406549305E-2</v>
      </c>
      <c r="N5" s="213">
        <f>+'[19]Act''23 vs Act''22-QTD'!$E$73</f>
        <v>0.12953279078273386</v>
      </c>
      <c r="O5" s="213">
        <f>+'[20]Act''24 vs Act''23-QTD'!$E$73</f>
        <v>0.11759196544908526</v>
      </c>
      <c r="P5" s="213">
        <f>+'[21]Act''24 vs Act''23-QTD'!$E$73</f>
        <v>9.017848286822544E-2</v>
      </c>
      <c r="Q5" s="213">
        <f>+'[16]Act''24 vs Act''23-QTD'!$E$73</f>
        <v>9.8451384137138387E-2</v>
      </c>
    </row>
    <row r="6" spans="2:17" x14ac:dyDescent="0.2">
      <c r="B6" s="20" t="s">
        <v>320</v>
      </c>
      <c r="C6" s="213">
        <f>'Group Profit &amp; Loss Stm'!C34/'Group Profit &amp; Loss Stm'!$C$8</f>
        <v>3.2291342821030883E-2</v>
      </c>
      <c r="D6" s="213">
        <f>'Group Profit &amp; Loss Stm'!D34/'Group Profit &amp; Loss Stm'!$D$8</f>
        <v>4.1673589348427645E-2</v>
      </c>
      <c r="E6" s="213">
        <f>'Group Profit &amp; Loss Stm'!E34/'Group Profit &amp; Loss Stm'!$E$8</f>
        <v>4.6404006010658243E-2</v>
      </c>
      <c r="F6" s="213">
        <f>'Group Profit &amp; Loss Stm'!F34/'Group Profit &amp; Loss Stm'!$F$8</f>
        <v>2.8697306001383753E-2</v>
      </c>
      <c r="G6" s="213">
        <f>'Group Profit &amp; Loss Stm'!H34/'Group Profit &amp; Loss Stm'!$H$8</f>
        <v>3.264632357052049E-2</v>
      </c>
      <c r="H6" s="213">
        <f>'Group Profit &amp; Loss Stm'!I34/'Group Profit &amp; Loss Stm'!$I$8</f>
        <v>2.9387293737611783E-2</v>
      </c>
      <c r="I6" s="213">
        <f>'Group Profit &amp; Loss Stm'!J34/'Group Profit &amp; Loss Stm'!$J$8</f>
        <v>2.7795580377731208E-2</v>
      </c>
      <c r="J6" s="213">
        <f>'Group Profit &amp; Loss Stm'!K34/'Group Profit &amp; Loss Stm'!$K$8</f>
        <v>2.2072777186619184E-2</v>
      </c>
      <c r="K6" s="213">
        <f>'Group Profit &amp; Loss Stm'!$M$34/'Group Profit &amp; Loss Stm'!$M$8</f>
        <v>1.6702107445637292E-2</v>
      </c>
      <c r="L6" s="213">
        <f>'Group Profit &amp; Loss Stm'!$N$34/'Group Profit &amp; Loss Stm'!$N$8</f>
        <v>1.3652107824654159E-2</v>
      </c>
      <c r="M6" s="213">
        <f>'Group Profit &amp; Loss Stm'!$O$34/'Group Profit &amp; Loss Stm'!$O$8</f>
        <v>7.143401159549076E-3</v>
      </c>
      <c r="N6" s="213">
        <f>'Group Profit &amp; Loss Stm'!$P$34/'Group Profit &amp; Loss Stm'!$P$8</f>
        <v>5.0384165067550252E-2</v>
      </c>
      <c r="O6" s="213">
        <f>'Group Profit &amp; Loss Stm'!$R$34/'Group Profit &amp; Loss Stm'!$R$8</f>
        <v>3.0223168911970973E-2</v>
      </c>
      <c r="P6" s="213">
        <f>'Group Profit &amp; Loss Stm'!$S$34/'Group Profit &amp; Loss Stm'!$S$8</f>
        <v>1.9335943368816721E-3</v>
      </c>
      <c r="Q6" s="213">
        <f>'Group Profit &amp; Loss Stm'!$T$34/'Group Profit &amp; Loss Stm'!$T$8</f>
        <v>1.6758270447252199E-2</v>
      </c>
    </row>
    <row r="7" spans="2:17" x14ac:dyDescent="0.2">
      <c r="B7" s="20" t="s">
        <v>321</v>
      </c>
      <c r="C7" s="31">
        <f>'Group Profit &amp; Loss Stm'!C41</f>
        <v>7.5610180910859652E-3</v>
      </c>
      <c r="D7" s="31">
        <f>'Group Profit &amp; Loss Stm'!D41</f>
        <v>1.1236451004656702E-2</v>
      </c>
      <c r="E7" s="31">
        <f>'Group Profit &amp; Loss Stm'!E41</f>
        <v>5.8303305085484298E-3</v>
      </c>
      <c r="F7" s="31">
        <f>'Group Profit &amp; Loss Stm'!F41</f>
        <v>8.716669567325832E-3</v>
      </c>
      <c r="G7" s="31">
        <f>'Group Profit &amp; Loss Stm'!H41</f>
        <v>8.6467777389232711E-3</v>
      </c>
      <c r="H7" s="31">
        <f>'Group Profit &amp; Loss Stm'!I41</f>
        <v>8.2930991506991389E-3</v>
      </c>
      <c r="I7" s="31">
        <f>'Group Profit &amp; Loss Stm'!J41</f>
        <v>6.8683005087124801E-3</v>
      </c>
      <c r="J7" s="31">
        <f>'Group Profit &amp; Loss Stm'!K41</f>
        <v>6.1361025328421376E-3</v>
      </c>
      <c r="K7" s="31">
        <f>'Group Profit &amp; Loss Stm'!M41</f>
        <v>4.5134383129812397E-3</v>
      </c>
      <c r="L7" s="31">
        <f>'Group Profit &amp; Loss Stm'!N41</f>
        <v>3.6273127725515763E-3</v>
      </c>
      <c r="M7" s="31">
        <f>'Group Profit &amp; Loss Stm'!O41</f>
        <v>1.8550557940544804E-3</v>
      </c>
      <c r="N7" s="31">
        <f>'Group Profit &amp; Loss Stm'!P41</f>
        <v>1.4297368109437806E-2</v>
      </c>
      <c r="O7" s="31">
        <f>'Group Profit &amp; Loss Stm'!R41</f>
        <v>8.7127844638760065E-3</v>
      </c>
      <c r="P7" s="31">
        <f>'Group Profit &amp; Loss Stm'!S41</f>
        <v>5.8777592475052736E-4</v>
      </c>
      <c r="Q7" s="31">
        <f>'Group Profit &amp; Loss Stm'!T41</f>
        <v>5.0001156638556331E-3</v>
      </c>
    </row>
    <row r="10" spans="2:17" x14ac:dyDescent="0.2">
      <c r="B10" s="176" t="s">
        <v>69</v>
      </c>
      <c r="C10" s="177">
        <v>2017</v>
      </c>
      <c r="D10" s="177">
        <v>2018</v>
      </c>
      <c r="E10" s="177">
        <v>2019</v>
      </c>
      <c r="F10" s="177">
        <v>2020</v>
      </c>
      <c r="G10" s="177">
        <v>2021</v>
      </c>
      <c r="H10" s="177">
        <v>2022</v>
      </c>
      <c r="I10" s="177">
        <v>2023</v>
      </c>
    </row>
    <row r="11" spans="2:17" x14ac:dyDescent="0.2">
      <c r="B11" s="71" t="s">
        <v>70</v>
      </c>
      <c r="C11" s="2">
        <v>0.16299979509596338</v>
      </c>
      <c r="D11" s="2">
        <v>0.16500034150672768</v>
      </c>
      <c r="E11" s="2">
        <v>0.16500000000885801</v>
      </c>
      <c r="F11" s="2">
        <v>0.13000000000697903</v>
      </c>
      <c r="G11" s="2">
        <v>0.13</v>
      </c>
      <c r="H11" s="240">
        <v>9.5334933401070077E-2</v>
      </c>
      <c r="I11" s="260" t="s">
        <v>71</v>
      </c>
    </row>
    <row r="12" spans="2:17" x14ac:dyDescent="0.2">
      <c r="B12" s="71" t="s">
        <v>72</v>
      </c>
      <c r="C12" s="2">
        <v>0.54811333971828136</v>
      </c>
      <c r="D12" s="2">
        <v>0.49037725699554435</v>
      </c>
      <c r="E12" s="2">
        <v>0.48567852837348008</v>
      </c>
      <c r="F12" s="2">
        <v>0.71378800837877832</v>
      </c>
      <c r="G12" s="2">
        <v>0.84389534501584196</v>
      </c>
      <c r="H12" s="240">
        <v>0.84400000000000008</v>
      </c>
      <c r="I12" s="260" t="s">
        <v>71</v>
      </c>
    </row>
    <row r="13" spans="2:17" x14ac:dyDescent="0.2">
      <c r="B13" s="23" t="s">
        <v>73</v>
      </c>
      <c r="C13" s="203">
        <v>0.16299999999999998</v>
      </c>
      <c r="D13" s="203">
        <v>0.16500000000000001</v>
      </c>
      <c r="E13" s="203">
        <v>0.16500000000000001</v>
      </c>
      <c r="F13" s="203">
        <v>0.13</v>
      </c>
      <c r="G13" s="203">
        <v>0.13</v>
      </c>
      <c r="H13" s="203">
        <v>9.5334933401070077E-2</v>
      </c>
      <c r="I13" s="260" t="s">
        <v>71</v>
      </c>
    </row>
    <row r="16" spans="2:17" x14ac:dyDescent="0.2">
      <c r="B16" s="212" t="s">
        <v>317</v>
      </c>
      <c r="C16" s="212" t="s">
        <v>322</v>
      </c>
      <c r="D16" s="212" t="s">
        <v>192</v>
      </c>
      <c r="E16" s="212" t="s">
        <v>193</v>
      </c>
      <c r="F16" s="212" t="s">
        <v>323</v>
      </c>
      <c r="G16" s="212" t="s">
        <v>195</v>
      </c>
      <c r="H16" s="212" t="s">
        <v>196</v>
      </c>
      <c r="I16" s="212" t="s">
        <v>324</v>
      </c>
      <c r="J16" s="212" t="s">
        <v>325</v>
      </c>
      <c r="K16" s="212" t="s">
        <v>326</v>
      </c>
      <c r="L16" s="212" t="s">
        <v>199</v>
      </c>
      <c r="M16" s="212" t="s">
        <v>327</v>
      </c>
      <c r="N16" s="212" t="s">
        <v>328</v>
      </c>
      <c r="O16" s="212" t="s">
        <v>329</v>
      </c>
      <c r="P16" s="212" t="s">
        <v>334</v>
      </c>
      <c r="Q16" s="212" t="s">
        <v>350</v>
      </c>
    </row>
    <row r="17" spans="2:17" x14ac:dyDescent="0.2">
      <c r="B17" s="20" t="s">
        <v>330</v>
      </c>
      <c r="C17" s="215">
        <v>0.56296818351863021</v>
      </c>
      <c r="D17" s="215">
        <v>0.60405321422514335</v>
      </c>
      <c r="E17" s="215">
        <v>0.54180898049493065</v>
      </c>
      <c r="F17" s="215">
        <v>0.47</v>
      </c>
      <c r="G17" s="215">
        <v>0.46822274462844077</v>
      </c>
      <c r="H17" s="215">
        <v>0.50170260453748983</v>
      </c>
      <c r="I17" s="215">
        <v>0.49113760549540303</v>
      </c>
      <c r="J17" s="215">
        <v>0.875</v>
      </c>
      <c r="K17" s="215">
        <v>0.85376440279652155</v>
      </c>
      <c r="L17" s="215">
        <v>0.88382467360853345</v>
      </c>
      <c r="M17" s="215">
        <v>0.86042505472614228</v>
      </c>
      <c r="N17" s="215">
        <v>0.83988890989293419</v>
      </c>
      <c r="O17" s="215">
        <v>0.80042898130150086</v>
      </c>
      <c r="P17" s="215">
        <v>0.77077723534873011</v>
      </c>
      <c r="Q17" s="215">
        <v>0.76013299327249728</v>
      </c>
    </row>
    <row r="18" spans="2:17" x14ac:dyDescent="0.2">
      <c r="B18" s="20" t="s">
        <v>331</v>
      </c>
      <c r="C18" s="215">
        <v>0.25528426376103186</v>
      </c>
      <c r="D18" s="215">
        <v>0.26609696286792661</v>
      </c>
      <c r="E18" s="215">
        <v>0.21035090015015731</v>
      </c>
      <c r="F18" s="215">
        <v>0.11899999999999999</v>
      </c>
      <c r="G18" s="215">
        <v>0.12092285126692787</v>
      </c>
      <c r="H18" s="215">
        <v>0.11470692493252921</v>
      </c>
      <c r="I18" s="215">
        <v>0.11704386914430294</v>
      </c>
      <c r="J18" s="215">
        <v>0.501</v>
      </c>
      <c r="K18" s="215">
        <v>0.46793452540792224</v>
      </c>
      <c r="L18" s="215">
        <v>0.48116355213358836</v>
      </c>
      <c r="M18" s="215">
        <v>0.4731770226046208</v>
      </c>
      <c r="N18" s="215">
        <v>0.45449904718015277</v>
      </c>
      <c r="O18" s="215">
        <v>0.43256039828332121</v>
      </c>
      <c r="P18" s="215">
        <v>0.40146228959801894</v>
      </c>
      <c r="Q18" s="215">
        <v>0.38856807792357656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B16"/>
  <sheetViews>
    <sheetView showGridLines="0" workbookViewId="0">
      <selection activeCell="E2" sqref="E2"/>
    </sheetView>
  </sheetViews>
  <sheetFormatPr defaultColWidth="9.140625" defaultRowHeight="12.75" x14ac:dyDescent="0.2"/>
  <cols>
    <col min="1" max="1" width="9.140625" style="20"/>
    <col min="2" max="2" width="9.140625" style="166"/>
    <col min="3" max="16384" width="9.140625" style="20"/>
  </cols>
  <sheetData>
    <row r="4" spans="2:2" x14ac:dyDescent="0.2">
      <c r="B4" s="165" t="s">
        <v>9</v>
      </c>
    </row>
    <row r="5" spans="2:2" x14ac:dyDescent="0.2">
      <c r="B5" s="166" t="s">
        <v>341</v>
      </c>
    </row>
    <row r="8" spans="2:2" x14ac:dyDescent="0.2">
      <c r="B8" s="19" t="s">
        <v>10</v>
      </c>
    </row>
    <row r="9" spans="2:2" x14ac:dyDescent="0.2">
      <c r="B9" s="19" t="s">
        <v>11</v>
      </c>
    </row>
    <row r="10" spans="2:2" x14ac:dyDescent="0.2">
      <c r="B10" s="19" t="s">
        <v>12</v>
      </c>
    </row>
    <row r="11" spans="2:2" x14ac:dyDescent="0.2">
      <c r="B11" s="19" t="s">
        <v>13</v>
      </c>
    </row>
    <row r="12" spans="2:2" x14ac:dyDescent="0.2">
      <c r="B12" s="167" t="s">
        <v>14</v>
      </c>
    </row>
    <row r="13" spans="2:2" x14ac:dyDescent="0.2">
      <c r="B13" s="167" t="s">
        <v>15</v>
      </c>
    </row>
    <row r="14" spans="2:2" x14ac:dyDescent="0.2">
      <c r="B14" s="19" t="s">
        <v>16</v>
      </c>
    </row>
    <row r="15" spans="2:2" x14ac:dyDescent="0.2">
      <c r="B15" s="167" t="s">
        <v>17</v>
      </c>
    </row>
    <row r="16" spans="2:2" x14ac:dyDescent="0.2">
      <c r="B16" s="167" t="s">
        <v>18</v>
      </c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AC42"/>
  <sheetViews>
    <sheetView showGridLines="0" workbookViewId="0">
      <pane xSplit="2" ySplit="7" topLeftCell="C8" activePane="bottomRight" state="frozen"/>
      <selection pane="topRight" activeCell="B7" sqref="B7"/>
      <selection pane="bottomLeft" activeCell="B7" sqref="B7"/>
      <selection pane="bottomRight" activeCell="X42" sqref="X42"/>
    </sheetView>
  </sheetViews>
  <sheetFormatPr defaultColWidth="9.140625" defaultRowHeight="12.75" x14ac:dyDescent="0.2"/>
  <cols>
    <col min="1" max="1" width="4.85546875" style="20" customWidth="1"/>
    <col min="2" max="2" width="66.85546875" style="20" customWidth="1"/>
    <col min="3" max="5" width="10" style="20" bestFit="1" customWidth="1"/>
    <col min="6" max="6" width="10" style="20" customWidth="1"/>
    <col min="7" max="8" width="10" style="20" bestFit="1" customWidth="1"/>
    <col min="9" max="12" width="10" style="20" customWidth="1"/>
    <col min="13" max="16" width="10" style="20" bestFit="1" customWidth="1"/>
    <col min="17" max="20" width="10" style="20" customWidth="1"/>
    <col min="21" max="21" width="12.5703125" style="20" customWidth="1"/>
    <col min="22" max="22" width="9.7109375" style="20" customWidth="1"/>
    <col min="23" max="23" width="12.5703125" style="20" customWidth="1"/>
    <col min="24" max="24" width="9.7109375" style="20" customWidth="1"/>
    <col min="25" max="16384" width="9.140625" style="20"/>
  </cols>
  <sheetData>
    <row r="1" spans="1:29" x14ac:dyDescent="0.2">
      <c r="A1" s="162">
        <f>'2024 IR Data Book'!$A$5</f>
        <v>0.27228666339922669</v>
      </c>
    </row>
    <row r="3" spans="1:29" ht="15.75" x14ac:dyDescent="0.25">
      <c r="B3" s="131" t="s">
        <v>19</v>
      </c>
    </row>
    <row r="5" spans="1:29" x14ac:dyDescent="0.2">
      <c r="B5" s="125" t="s">
        <v>20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268" t="s">
        <v>21</v>
      </c>
      <c r="V5" s="268"/>
      <c r="W5" s="268" t="s">
        <v>21</v>
      </c>
      <c r="X5" s="268"/>
    </row>
    <row r="6" spans="1:29" ht="25.5" x14ac:dyDescent="0.2">
      <c r="B6" s="127"/>
      <c r="C6" s="128" t="s">
        <v>22</v>
      </c>
      <c r="D6" s="128" t="s">
        <v>23</v>
      </c>
      <c r="E6" s="128" t="s">
        <v>24</v>
      </c>
      <c r="F6" s="128" t="s">
        <v>25</v>
      </c>
      <c r="G6" s="128" t="s">
        <v>26</v>
      </c>
      <c r="H6" s="128" t="s">
        <v>27</v>
      </c>
      <c r="I6" s="128" t="s">
        <v>28</v>
      </c>
      <c r="J6" s="128" t="s">
        <v>29</v>
      </c>
      <c r="K6" s="128" t="s">
        <v>30</v>
      </c>
      <c r="L6" s="128" t="s">
        <v>31</v>
      </c>
      <c r="M6" s="128" t="s">
        <v>32</v>
      </c>
      <c r="N6" s="128" t="s">
        <v>33</v>
      </c>
      <c r="O6" s="128" t="s">
        <v>34</v>
      </c>
      <c r="P6" s="128" t="s">
        <v>35</v>
      </c>
      <c r="Q6" s="128" t="s">
        <v>36</v>
      </c>
      <c r="R6" s="128" t="s">
        <v>37</v>
      </c>
      <c r="S6" s="128" t="s">
        <v>332</v>
      </c>
      <c r="T6" s="128" t="s">
        <v>342</v>
      </c>
      <c r="U6" s="129" t="s">
        <v>344</v>
      </c>
      <c r="V6" s="128" t="s">
        <v>38</v>
      </c>
      <c r="W6" s="129" t="s">
        <v>343</v>
      </c>
      <c r="X6" s="128" t="s">
        <v>38</v>
      </c>
    </row>
    <row r="7" spans="1:29" ht="15" x14ac:dyDescent="0.25">
      <c r="B7" s="21" t="s">
        <v>39</v>
      </c>
    </row>
    <row r="8" spans="1:29" x14ac:dyDescent="0.2">
      <c r="B8" s="22" t="s">
        <v>40</v>
      </c>
      <c r="C8" s="28">
        <f>((1424933))*('2024 IR Data Book'!$A$5)</f>
        <v>387990.25213745027</v>
      </c>
      <c r="D8" s="28">
        <f>(1570923)*('2024 IR Data Book'!$A$5)</f>
        <v>427741.3821271034</v>
      </c>
      <c r="E8" s="28">
        <f>(1461404)*('2024 IR Data Book'!$A$5)</f>
        <v>397920.81903828349</v>
      </c>
      <c r="F8" s="28">
        <f>G8-C8-D8-E8</f>
        <v>438802.21096770681</v>
      </c>
      <c r="G8" s="28">
        <f>(6068805)*('2024 IR Data Book'!$A$5)</f>
        <v>1652454.664270544</v>
      </c>
      <c r="H8" s="28">
        <f>(1448931.82909692)*('2024 IR Data Book'!$A$5)</f>
        <v>394524.81323773891</v>
      </c>
      <c r="I8" s="28">
        <f>(1516588.75107447)*('2024 IR Data Book'!$A$5)</f>
        <v>412946.89077886782</v>
      </c>
      <c r="J8" s="28">
        <f>1426250.44629083*('2024 IR Data Book'!$A$5)</f>
        <v>388348.97519218805</v>
      </c>
      <c r="K8" s="28">
        <f>L8-H8-I8-J8</f>
        <v>417751.44952833978</v>
      </c>
      <c r="L8" s="28">
        <f>5926005*('2024 IR Data Book'!$A$5)</f>
        <v>1613572.1287371344</v>
      </c>
      <c r="M8" s="28">
        <f>1431496*('2024 IR Data Book'!$A$5)</f>
        <v>389777.26950933941</v>
      </c>
      <c r="N8" s="28">
        <f>1388839.25356387*((('2024 IR Data Book'!$A$5)))</f>
        <v>378162.40635077871</v>
      </c>
      <c r="O8" s="28">
        <f>1349677.80025126*((('2024 IR Data Book'!$A$5)))</f>
        <v>367499.26489442354</v>
      </c>
      <c r="P8" s="28">
        <f>(Q8-M8-N8-O8)</f>
        <v>414967.39732014807</v>
      </c>
      <c r="Q8" s="28">
        <f>'[7]IS package Dec YTD''23 Exc Info'!$C$12*('2024 IR Data Book'!$A$5)</f>
        <v>1550406.3380746897</v>
      </c>
      <c r="R8" s="28">
        <f>'[8]IS package 1st Qrt''24 Exc Info'!$C$12*('2024 IR Data Book'!$A$5)</f>
        <v>419512.24133178854</v>
      </c>
      <c r="S8" s="28">
        <f>'[9]IS package 2nd Qrt''24 Exc Info'!$C$12*('2024 IR Data Book'!$A$5)</f>
        <v>407410.20443405979</v>
      </c>
      <c r="T8" s="28">
        <f>'[10]IS package 3rd Qrt''24 Exc Info'!$C$12*('2024 IR Data Book'!$A$5)</f>
        <v>433577.32757101068</v>
      </c>
      <c r="U8" s="28">
        <f>T8-O8</f>
        <v>66078.062676587142</v>
      </c>
      <c r="V8" s="32">
        <f>U8/O8</f>
        <v>0.17980461184206797</v>
      </c>
      <c r="W8" s="28">
        <f t="shared" ref="W8:W13" si="0">(R8+S8+T8)-(M8+N8+O8)</f>
        <v>125060.83258231729</v>
      </c>
      <c r="X8" s="32">
        <f t="shared" ref="X8:X13" si="1">W8/(M8+N8+O8)</f>
        <v>0.1101431597010489</v>
      </c>
    </row>
    <row r="9" spans="1:29" x14ac:dyDescent="0.2">
      <c r="B9" s="22" t="s">
        <v>41</v>
      </c>
      <c r="C9" s="28">
        <f>-1066286*('2024 IR Data Book'!$A$5)</f>
        <v>-290335.4571693078</v>
      </c>
      <c r="D9" s="28">
        <f>-1182258*('2024 IR Data Book'!$A$5)</f>
        <v>-321913.08609704295</v>
      </c>
      <c r="E9" s="28">
        <f>-1105324*('2024 IR Data Book'!$A$5)</f>
        <v>-300964.98393508687</v>
      </c>
      <c r="F9" s="28">
        <f>G9-C9-D9-E9</f>
        <v>-349635.13587104494</v>
      </c>
      <c r="G9" s="28">
        <f>(-4637938)*('2024 IR Data Book'!$A$5)</f>
        <v>-1262848.6630724827</v>
      </c>
      <c r="H9" s="28">
        <f>-1104831.60806885*('2024 IR Data Book'!$A$5)</f>
        <v>-300830.9121790693</v>
      </c>
      <c r="I9" s="28">
        <f>-1137965.97137327*('2024 IR Data Book'!$A$5)</f>
        <v>-309852.95740708761</v>
      </c>
      <c r="J9" s="28">
        <f>-1105423.3538419*('2024 IR Data Book'!$A$5)</f>
        <v>-300992.03666119365</v>
      </c>
      <c r="K9" s="28">
        <f>L9-H9-I9-J9</f>
        <v>-314077.23866361153</v>
      </c>
      <c r="L9" s="28">
        <f>-4501701*('2024 IR Data Book'!$A$5)</f>
        <v>-1225753.1449109621</v>
      </c>
      <c r="M9" s="28">
        <f>-1073496*('2024 IR Data Book'!$A$5)</f>
        <v>-292298.64401241625</v>
      </c>
      <c r="N9" s="28">
        <f>-1043293.30478205*((('2024 IR Data Book'!$A$5)))</f>
        <v>-284074.85290585685</v>
      </c>
      <c r="O9" s="28">
        <f>-1015021.29515526*((('2024 IR Data Book'!$A$5)))</f>
        <v>-276376.76173698739</v>
      </c>
      <c r="P9" s="28">
        <f>(Q9-M9-N9-O9)</f>
        <v>-309122.16905238596</v>
      </c>
      <c r="Q9" s="28">
        <f>'[7]IS package Dec YTD''23 Exc Info'!$C$13*('2024 IR Data Book'!$A$5)</f>
        <v>-1161872.4277076465</v>
      </c>
      <c r="R9" s="28">
        <f>'[8]IS package 1st Qrt''24 Exc Info'!$C$13*('2024 IR Data Book'!$A$5)</f>
        <v>-311849.92420727422</v>
      </c>
      <c r="S9" s="28">
        <f>'[9]IS package 2nd Qrt''24 Exc Info'!$C$13*('2024 IR Data Book'!$A$5)</f>
        <v>-313435.55727750197</v>
      </c>
      <c r="T9" s="28">
        <f>'[10]IS package 3rd Qrt''24 Exc Info'!$C$13*('2024 IR Data Book'!$A$5)</f>
        <v>-331997.52937283204</v>
      </c>
      <c r="U9" s="35">
        <f>T9-O9</f>
        <v>-55620.767635844648</v>
      </c>
      <c r="V9" s="36">
        <f>U9/O9</f>
        <v>0.20124979859477435</v>
      </c>
      <c r="W9" s="35">
        <f t="shared" si="0"/>
        <v>-104532.75220234762</v>
      </c>
      <c r="X9" s="36">
        <f t="shared" si="1"/>
        <v>0.12258307885733148</v>
      </c>
    </row>
    <row r="10" spans="1:29" x14ac:dyDescent="0.2">
      <c r="B10" s="23" t="s">
        <v>42</v>
      </c>
      <c r="C10" s="29">
        <f>C8+C9</f>
        <v>97654.794968142465</v>
      </c>
      <c r="D10" s="29">
        <f>D8+D9</f>
        <v>105828.29603006045</v>
      </c>
      <c r="E10" s="29">
        <f t="shared" ref="E10:G10" si="2">E8+E9</f>
        <v>96955.835103196616</v>
      </c>
      <c r="F10" s="29">
        <f t="shared" si="2"/>
        <v>89167.075096661865</v>
      </c>
      <c r="G10" s="29">
        <f t="shared" si="2"/>
        <v>389606.00119806128</v>
      </c>
      <c r="H10" s="29">
        <f t="shared" ref="H10:N10" si="3">H8+H9</f>
        <v>93693.901058669609</v>
      </c>
      <c r="I10" s="29">
        <f t="shared" si="3"/>
        <v>103093.93337178021</v>
      </c>
      <c r="J10" s="29">
        <f t="shared" si="3"/>
        <v>87356.938530994405</v>
      </c>
      <c r="K10" s="29">
        <f t="shared" si="3"/>
        <v>103674.21086472826</v>
      </c>
      <c r="L10" s="29">
        <f t="shared" si="3"/>
        <v>387818.98382617231</v>
      </c>
      <c r="M10" s="29">
        <f t="shared" si="3"/>
        <v>97478.625496923167</v>
      </c>
      <c r="N10" s="29">
        <f t="shared" si="3"/>
        <v>94087.553444921854</v>
      </c>
      <c r="O10" s="29">
        <f t="shared" ref="O10:Q10" si="4">O8+O9</f>
        <v>91122.503157436149</v>
      </c>
      <c r="P10" s="29">
        <f t="shared" si="4"/>
        <v>105845.22826776211</v>
      </c>
      <c r="Q10" s="29">
        <f t="shared" si="4"/>
        <v>388533.91036704322</v>
      </c>
      <c r="R10" s="29">
        <f t="shared" ref="R10:S10" si="5">R8+R9</f>
        <v>107662.31712451432</v>
      </c>
      <c r="S10" s="29">
        <f t="shared" si="5"/>
        <v>93974.647156557825</v>
      </c>
      <c r="T10" s="29">
        <f t="shared" ref="T10" si="6">T8+T9</f>
        <v>101579.79819817864</v>
      </c>
      <c r="U10" s="28">
        <f t="shared" ref="U10:U15" si="7">T10-O10</f>
        <v>10457.295040742494</v>
      </c>
      <c r="V10" s="32">
        <f t="shared" ref="V10:V13" si="8">U10/O10</f>
        <v>0.11476084038950279</v>
      </c>
      <c r="W10" s="28">
        <f t="shared" si="0"/>
        <v>20528.080379969615</v>
      </c>
      <c r="X10" s="32">
        <f t="shared" si="1"/>
        <v>7.2617270092051614E-2</v>
      </c>
      <c r="Y10" s="28"/>
      <c r="AA10" s="241"/>
      <c r="AC10" s="28"/>
    </row>
    <row r="11" spans="1:29" x14ac:dyDescent="0.2">
      <c r="B11" s="22" t="s">
        <v>43</v>
      </c>
      <c r="C11" s="28">
        <f>-67400*('2024 IR Data Book'!$A$5)</f>
        <v>-18352.121113107878</v>
      </c>
      <c r="D11" s="28">
        <f>-77114*('2024 IR Data Book'!$A$5)</f>
        <v>-20997.113761367968</v>
      </c>
      <c r="E11" s="28">
        <f>-62964*('2024 IR Data Book'!$A$5)</f>
        <v>-17144.25747426891</v>
      </c>
      <c r="F11" s="28">
        <f t="shared" ref="F11:F14" si="9">G11-C11-D11-E11</f>
        <v>-17706.801720851712</v>
      </c>
      <c r="G11" s="28">
        <f>(-272508)*('2024 IR Data Book'!$A$5)</f>
        <v>-74200.294069596464</v>
      </c>
      <c r="H11" s="28">
        <f>-58785.3492673848*('2024 IR Data Book'!$A$5)</f>
        <v>-16006.466608774383</v>
      </c>
      <c r="I11" s="28">
        <f>-65139.864353484*('2024 IR Data Book'!$A$5)</f>
        <v>-17736.716319088384</v>
      </c>
      <c r="J11" s="28">
        <f>-62179.9677381306*('2024 IR Data Book'!$A$5)</f>
        <v>-16930.775945687143</v>
      </c>
      <c r="K11" s="28">
        <f>L11-H11-I11-J11</f>
        <v>-19477.160224636653</v>
      </c>
      <c r="L11" s="28">
        <f>-257637*('2024 IR Data Book'!$A$5)</f>
        <v>-70151.119098186566</v>
      </c>
      <c r="M11" s="28">
        <f>-71390*('2024 IR Data Book'!$A$5)</f>
        <v>-19438.544900070792</v>
      </c>
      <c r="N11" s="28">
        <f>-79755.3704061832*((('2024 IR Data Book'!$A$5)))</f>
        <v>-21716.323696069048</v>
      </c>
      <c r="O11" s="28">
        <f>-76695.9071356232*((('2024 IR Data Book'!$A$5)))</f>
        <v>-20883.272650335784</v>
      </c>
      <c r="P11" s="28">
        <f>(Q11-M11-N11-O11)</f>
        <v>-21949.415251539824</v>
      </c>
      <c r="Q11" s="28">
        <f>'[7]IS package Dec YTD''23 Exc Info'!$C$15*('2024 IR Data Book'!$A$5)</f>
        <v>-83987.556498015445</v>
      </c>
      <c r="R11" s="28">
        <f>'[8]IS package 1st Qrt''24 Exc Info'!$C$15*('2024 IR Data Book'!$A$5)</f>
        <v>-22071.705794847017</v>
      </c>
      <c r="S11" s="28">
        <f>'[9]IS package 2nd Qrt''24 Exc Info'!$C$15*('2024 IR Data Book'!$A$5)</f>
        <v>-22716.393313898807</v>
      </c>
      <c r="T11" s="28">
        <f>'[10]IS package 3rd Qrt''24 Exc Info'!$C$15*('2024 IR Data Book'!$A$5)</f>
        <v>-24272.969376931713</v>
      </c>
      <c r="U11" s="28">
        <f t="shared" si="7"/>
        <v>-3389.6967265959283</v>
      </c>
      <c r="V11" s="32">
        <f t="shared" si="8"/>
        <v>0.16231635641367853</v>
      </c>
      <c r="W11" s="28">
        <f t="shared" si="0"/>
        <v>-7022.9272392019047</v>
      </c>
      <c r="X11" s="32">
        <f t="shared" si="1"/>
        <v>0.11320337937431153</v>
      </c>
    </row>
    <row r="12" spans="1:29" x14ac:dyDescent="0.2">
      <c r="B12" s="24" t="s">
        <v>44</v>
      </c>
      <c r="C12" s="28">
        <f>-3646*('2024 IR Data Book'!$A$5)</f>
        <v>-992.75717475358056</v>
      </c>
      <c r="D12" s="28">
        <f>-5016*('2024 IR Data Book'!$A$5)</f>
        <v>-1365.7899036105212</v>
      </c>
      <c r="E12" s="28">
        <f>-6363*('2024 IR Data Book'!$A$5)</f>
        <v>-1732.5600392092795</v>
      </c>
      <c r="F12" s="28">
        <f t="shared" si="9"/>
        <v>-414.42030169362329</v>
      </c>
      <c r="G12" s="28">
        <f>(-15635-912)*('2024 IR Data Book'!$A$5)</f>
        <v>-4505.527419267004</v>
      </c>
      <c r="H12" s="28">
        <f>-4547.01664062866*('2024 IR Data Book'!$A$5)</f>
        <v>-1238.0919894975384</v>
      </c>
      <c r="I12" s="28">
        <f>-4758.01804787734*('2024 IR Data Book'!$A$5)</f>
        <v>-1295.544858649823</v>
      </c>
      <c r="J12" s="28">
        <f>-4518.9367594406*('2024 IR Data Book'!$A$5)</f>
        <v>-1230.446212340195</v>
      </c>
      <c r="K12" s="28">
        <f>L12-H12-I12-J12</f>
        <v>-619.18764691319461</v>
      </c>
      <c r="L12" s="28">
        <f>-16098*(('2024 IR Data Book'!$A$5))</f>
        <v>-4383.2707074007512</v>
      </c>
      <c r="M12" s="28">
        <f>-12899*('2024 IR Data Book'!$A$5)</f>
        <v>-3512.2256711866253</v>
      </c>
      <c r="N12" s="28">
        <f>-611.305297781729*((('2024 IR Data Book'!$A$5)))</f>
        <v>-166.45027985125768</v>
      </c>
      <c r="O12" s="28">
        <f>-2404.71521328254*((('2024 IR Data Book'!$A$5)))</f>
        <v>-654.77188185006253</v>
      </c>
      <c r="P12" s="28">
        <f>(Q12-M12-N12-O12)</f>
        <v>-1122.9623428447344</v>
      </c>
      <c r="Q12" s="28">
        <f>('[7]IS package Dec YTD''23 Exc Info'!$C$16+'[7]IS package Dec YTD''23 Exc Info'!$C$17)*(('2024 IR Data Book'!$A$5))</f>
        <v>-5456.4101757326798</v>
      </c>
      <c r="R12" s="28">
        <f>('[8]IS package 1st Qrt''24 Exc Info'!$C$16+'[8]IS package 1st Qrt''24 Exc Info'!$C$17)*(('2024 IR Data Book'!$A$5))</f>
        <v>-1699.1292027944962</v>
      </c>
      <c r="S12" s="28">
        <f>('[9]IS package 2nd Qrt''24 Exc Info'!$C$16+'[9]IS package 2nd Qrt''24 Exc Info'!$C$17)*(('2024 IR Data Book'!$A$5))</f>
        <v>-1200.429291819851</v>
      </c>
      <c r="T12" s="28">
        <f>('[10]IS package 3rd Qrt''24 Exc Info'!$C$16+'[10]IS package 3rd Qrt''24 Exc Info'!$C$17)*(('2024 IR Data Book'!$A$5))</f>
        <v>-496.74091443833709</v>
      </c>
      <c r="U12" s="28">
        <f t="shared" si="7"/>
        <v>158.03096741172544</v>
      </c>
      <c r="V12" s="32">
        <f t="shared" si="8"/>
        <v>-0.24135270892391994</v>
      </c>
      <c r="W12" s="28">
        <f t="shared" si="0"/>
        <v>937.14842383526047</v>
      </c>
      <c r="X12" s="32">
        <f t="shared" si="1"/>
        <v>-0.21625930667099216</v>
      </c>
      <c r="Y12" s="28"/>
      <c r="AA12" s="241"/>
      <c r="AC12" s="28"/>
    </row>
    <row r="13" spans="1:29" x14ac:dyDescent="0.2">
      <c r="B13" s="24" t="s">
        <v>45</v>
      </c>
      <c r="C13" s="28">
        <f>-216289*('2024 IR Data Book'!$A$5)</f>
        <v>-58892.610139955344</v>
      </c>
      <c r="D13" s="28">
        <f>-213497*('2024 IR Data Book'!$A$5)</f>
        <v>-58132.385775744704</v>
      </c>
      <c r="E13" s="28">
        <f>-220767*('2024 IR Data Book'!$A$5)</f>
        <v>-60111.909818657077</v>
      </c>
      <c r="F13" s="28">
        <f t="shared" si="9"/>
        <v>-64559.440178620032</v>
      </c>
      <c r="G13" s="28">
        <f>-887654*('2024 IR Data Book'!$A$5)</f>
        <v>-241696.34591297718</v>
      </c>
      <c r="H13" s="28">
        <f>-214112.877240882*('2024 IR Data Book'!$A$5)</f>
        <v>-58300.080934727979</v>
      </c>
      <c r="I13" s="28">
        <f>-234187.438032882*('2024 IR Data Book'!$A$5)</f>
        <v>-63766.116111986601</v>
      </c>
      <c r="J13" s="28">
        <f>-213023.336177279*('2024 IR Data Book'!$A$5)</f>
        <v>-58003.413433883077</v>
      </c>
      <c r="K13" s="28">
        <f>L13-H13-I13-J13</f>
        <v>-67070.835866250884</v>
      </c>
      <c r="L13" s="28">
        <f>-907648.003253436*(('2024 IR Data Book'!$A$5))</f>
        <v>-247140.44634684853</v>
      </c>
      <c r="M13" s="28">
        <f>-209421*('2024 IR Data Book'!$A$5)</f>
        <v>-57022.545335729454</v>
      </c>
      <c r="N13" s="28">
        <f>-213482.289965244*((('2024 IR Data Book'!$A$5)))</f>
        <v>-58128.380429462508</v>
      </c>
      <c r="O13" s="28">
        <f>-209415.097211414*((('2024 IR Data Book'!$A$5)))</f>
        <v>-57020.938085120615</v>
      </c>
      <c r="P13" s="28">
        <f>(Q13-M13-N13-O13)</f>
        <v>-57945.146297709369</v>
      </c>
      <c r="Q13" s="28">
        <f>'[7]IS package Dec YTD''23 Exc Info'!$C$18*(('2024 IR Data Book'!$A$5))</f>
        <v>-230117.01014802195</v>
      </c>
      <c r="R13" s="28">
        <f>'[8]IS package 1st Qrt''24 Exc Info'!$C$18*(('2024 IR Data Book'!$A$5))</f>
        <v>-59561.145023291865</v>
      </c>
      <c r="S13" s="28">
        <f>'[9]IS package 2nd Qrt''24 Exc Info'!$C$18*(('2024 IR Data Book'!$A$5))</f>
        <v>-59073.680404820465</v>
      </c>
      <c r="T13" s="28">
        <f>'[10]IS package 3rd Qrt''24 Exc Info'!$C$18*(('2024 IR Data Book'!$A$5))</f>
        <v>-60308.690462624952</v>
      </c>
      <c r="U13" s="28">
        <f t="shared" si="7"/>
        <v>-3287.7523775043373</v>
      </c>
      <c r="V13" s="32">
        <f t="shared" si="8"/>
        <v>5.7658686228493725E-2</v>
      </c>
      <c r="W13" s="28">
        <f t="shared" si="0"/>
        <v>-6771.6520404246985</v>
      </c>
      <c r="X13" s="32">
        <f t="shared" si="1"/>
        <v>3.9330770365081376E-2</v>
      </c>
      <c r="Y13" s="28"/>
      <c r="AA13" s="241"/>
      <c r="AC13" s="28"/>
    </row>
    <row r="14" spans="1:29" x14ac:dyDescent="0.2">
      <c r="B14" s="20" t="s">
        <v>46</v>
      </c>
      <c r="C14" s="28">
        <f>0*('2024 IR Data Book'!$A$5)</f>
        <v>0</v>
      </c>
      <c r="D14" s="28">
        <f>0*('2024 IR Data Book'!$A$5)</f>
        <v>0</v>
      </c>
      <c r="E14" s="28">
        <f>6611*('2024 IR Data Book'!$A$5)</f>
        <v>1800.0871317322876</v>
      </c>
      <c r="F14" s="28">
        <f t="shared" si="9"/>
        <v>7366.987964929478</v>
      </c>
      <c r="G14" s="28">
        <f>33667*('2024 IR Data Book'!$A$5)</f>
        <v>9167.0750966617652</v>
      </c>
      <c r="H14" s="28">
        <f>0*('2024 IR Data Book'!$A$5)</f>
        <v>0</v>
      </c>
      <c r="I14" s="28">
        <f>0*('2024 IR Data Book'!$A$5)</f>
        <v>0</v>
      </c>
      <c r="J14" s="28">
        <v>0</v>
      </c>
      <c r="K14" s="28">
        <f>L14-H14-I14-J14</f>
        <v>351.52208244840165</v>
      </c>
      <c r="L14" s="28">
        <f>1291*(('2024 IR Data Book'!$A$5))</f>
        <v>351.52208244840165</v>
      </c>
      <c r="M14" s="28">
        <v>0</v>
      </c>
      <c r="N14" s="28">
        <f>0*((('2024 IR Data Book'!$A$5)))</f>
        <v>0</v>
      </c>
      <c r="O14" s="28">
        <f>0*((('2024 IR Data Book'!$A$5)))</f>
        <v>0</v>
      </c>
      <c r="P14" s="28">
        <f>(Q14-M14-N14-O14)</f>
        <v>0</v>
      </c>
      <c r="Q14" s="28">
        <f>'[7]IS package Dec YTD''23 Exc Info'!$C$19*(('2024 IR Data Book'!$A$5))</f>
        <v>0</v>
      </c>
      <c r="R14" s="28">
        <f>'[8]IS package 1st Qrt''24 Exc Info'!$C$19*(('2024 IR Data Book'!$A$5))</f>
        <v>0</v>
      </c>
      <c r="S14" s="28">
        <f>'[9]IS package 2nd Qrt''24 Exc Info'!$C$19*(('2024 IR Data Book'!$A$5))</f>
        <v>0</v>
      </c>
      <c r="T14" s="28">
        <f>'[10]IS package 3rd Qrt''24 Exc Info'!$C$19*(('2024 IR Data Book'!$A$5))</f>
        <v>0</v>
      </c>
      <c r="U14" s="28">
        <f t="shared" si="7"/>
        <v>0</v>
      </c>
      <c r="V14" s="32"/>
      <c r="W14" s="28"/>
      <c r="X14" s="32"/>
      <c r="AA14" s="266"/>
      <c r="AC14" s="28"/>
    </row>
    <row r="15" spans="1:29" x14ac:dyDescent="0.2">
      <c r="B15" s="24" t="s">
        <v>47</v>
      </c>
      <c r="C15" s="28">
        <f>8143*('2024 IR Data Book'!$A$5)</f>
        <v>2217.2303000599031</v>
      </c>
      <c r="D15" s="28">
        <f>6514*('2024 IR Data Book'!$A$5)</f>
        <v>1773.6753253825627</v>
      </c>
      <c r="E15" s="28">
        <f>(-4579)*('2024 IR Data Book'!$A$5)</f>
        <v>-1246.800631705059</v>
      </c>
      <c r="F15" s="28">
        <f>G15-C15-D15-E15</f>
        <v>2115.9396612753903</v>
      </c>
      <c r="G15" s="28">
        <f>(17849)*('2024 IR Data Book'!$A$5)</f>
        <v>4860.0446550127972</v>
      </c>
      <c r="H15" s="28">
        <f>8351.413296422*('2024 IR Data Book'!$A$5)</f>
        <v>2273.9784611506834</v>
      </c>
      <c r="I15" s="35">
        <f>-10969.3359538721*('2024 IR Data Book'!$A$5)</f>
        <v>-2986.8038865850076</v>
      </c>
      <c r="J15" s="35">
        <f>9802.38519477437*('2024 IR Data Book'!$A$5)</f>
        <v>2669.058758039092</v>
      </c>
      <c r="K15" s="35">
        <f>L15-H15-I15-J15</f>
        <v>-1651.8168429244324</v>
      </c>
      <c r="L15" s="35">
        <f>1118*(('2024 IR Data Book'!$A$5))</f>
        <v>304.41648968033542</v>
      </c>
      <c r="M15" s="35">
        <f>-1290*('2024 IR Data Book'!$A$5)</f>
        <v>-351.24979578500245</v>
      </c>
      <c r="N15" s="35">
        <f>1064.56588729404*((('2024 IR Data Book'!$A$5)))</f>
        <v>289.86709341993139</v>
      </c>
      <c r="O15" s="35">
        <f>-1432.24729710274*((('2024 IR Data Book'!$A$5)))</f>
        <v>-389.981837690666</v>
      </c>
      <c r="P15" s="35">
        <f>(Q15-M15-N15-O15)</f>
        <v>4086.5543790080087</v>
      </c>
      <c r="Q15" s="35">
        <f>'[7]IS package Dec YTD''23 Exc Info'!$C$20*(('2024 IR Data Book'!$A$5))</f>
        <v>3635.1898389522717</v>
      </c>
      <c r="R15" s="35">
        <f>'[8]IS package 1st Qrt''24 Exc Info'!$C$20*(('2024 IR Data Book'!$A$5))</f>
        <v>830.81297277721376</v>
      </c>
      <c r="S15" s="35">
        <f>'[9]IS package 2nd Qrt''24 Exc Info'!$C$20*(('2024 IR Data Book'!$A$5))</f>
        <v>1802.933823952877</v>
      </c>
      <c r="T15" s="35">
        <f>'[10]IS package 3rd Qrt''24 Exc Info'!$C$20*(('2024 IR Data Book'!$A$5))</f>
        <v>2047.1406576224097</v>
      </c>
      <c r="U15" s="35">
        <f t="shared" si="7"/>
        <v>2437.1224953130759</v>
      </c>
      <c r="V15" s="36">
        <f>U15/O15</f>
        <v>-6.2493230703892522</v>
      </c>
      <c r="W15" s="35">
        <f>(R15+S15+T15)-(M15+N15+O15)</f>
        <v>5132.2519944082378</v>
      </c>
      <c r="X15" s="36">
        <f>W15/(M15+N15+O15)</f>
        <v>-11.370525459918669</v>
      </c>
      <c r="Y15" s="28"/>
      <c r="AA15" s="241"/>
      <c r="AC15" s="28"/>
    </row>
    <row r="16" spans="1:29" x14ac:dyDescent="0.2">
      <c r="B16" s="25" t="s">
        <v>48</v>
      </c>
      <c r="C16" s="29">
        <f t="shared" ref="C16:I16" si="10">SUM(C10:C15)</f>
        <v>21634.536840385565</v>
      </c>
      <c r="D16" s="29">
        <f t="shared" si="10"/>
        <v>27106.681914719808</v>
      </c>
      <c r="E16" s="29">
        <f t="shared" si="10"/>
        <v>18520.394271088589</v>
      </c>
      <c r="F16" s="29">
        <f t="shared" si="10"/>
        <v>15969.340521701366</v>
      </c>
      <c r="G16" s="29">
        <f t="shared" si="10"/>
        <v>83230.953547895217</v>
      </c>
      <c r="H16" s="29">
        <f t="shared" si="10"/>
        <v>20423.239986820394</v>
      </c>
      <c r="I16" s="34">
        <f t="shared" si="10"/>
        <v>17308.752195470388</v>
      </c>
      <c r="J16" s="34">
        <f t="shared" ref="J16:K16" si="11">SUM(J10:J15)</f>
        <v>13861.361697123088</v>
      </c>
      <c r="K16" s="34">
        <f t="shared" si="11"/>
        <v>15206.732366451495</v>
      </c>
      <c r="L16" s="34">
        <f t="shared" ref="L16:N16" si="12">SUM(L10:L15)</f>
        <v>66800.086245865212</v>
      </c>
      <c r="M16" s="34">
        <f t="shared" si="12"/>
        <v>17154.059794151301</v>
      </c>
      <c r="N16" s="34">
        <f t="shared" si="12"/>
        <v>14366.266132958981</v>
      </c>
      <c r="O16" s="34">
        <f t="shared" ref="O16:Q16" si="13">SUM(O10:O15)</f>
        <v>12173.538702439026</v>
      </c>
      <c r="P16" s="34">
        <f t="shared" si="13"/>
        <v>28914.258754676197</v>
      </c>
      <c r="Q16" s="34">
        <f t="shared" si="13"/>
        <v>72608.123384225444</v>
      </c>
      <c r="R16" s="34">
        <f>SUM(R10:R15)</f>
        <v>25161.150076358146</v>
      </c>
      <c r="S16" s="34">
        <f t="shared" ref="S16" si="14">SUM(S10:S15)</f>
        <v>12787.077969971582</v>
      </c>
      <c r="T16" s="34">
        <f t="shared" ref="T16" si="15">SUM(T10:T15)</f>
        <v>18548.538101806051</v>
      </c>
      <c r="U16" s="28">
        <f>T16-O16</f>
        <v>6374.999399367025</v>
      </c>
      <c r="V16" s="32">
        <f>U16/O16</f>
        <v>0.5236767677166676</v>
      </c>
      <c r="W16" s="28">
        <f>(R16+S16+T16)-(M16+N16+O16)</f>
        <v>12802.90151858647</v>
      </c>
      <c r="X16" s="32">
        <f>W16/(M16+N16+O16)</f>
        <v>0.29301371318681929</v>
      </c>
      <c r="Y16" s="28"/>
    </row>
    <row r="17" spans="2:25" x14ac:dyDescent="0.2">
      <c r="B17" s="2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2"/>
      <c r="W17" s="28"/>
      <c r="X17" s="32"/>
    </row>
    <row r="18" spans="2:25" x14ac:dyDescent="0.2">
      <c r="B18" s="22" t="s">
        <v>49</v>
      </c>
      <c r="C18" s="28">
        <f>2247*('2024 IR Data Book'!$A$5)</f>
        <v>611.82813265806237</v>
      </c>
      <c r="D18" s="28">
        <f>1426*('2024 IR Data Book'!$A$5)</f>
        <v>388.28078200729726</v>
      </c>
      <c r="E18" s="28">
        <f>1374*('2024 IR Data Book'!$A$5)</f>
        <v>374.12187551053745</v>
      </c>
      <c r="F18" s="28">
        <f t="shared" ref="F18:F20" si="16">G18-C18-D18-E18</f>
        <v>370.037575559549</v>
      </c>
      <c r="G18" s="28">
        <f>6406*('2024 IR Data Book'!$A$5)</f>
        <v>1744.2683657354462</v>
      </c>
      <c r="H18" s="28">
        <f>991.01122253691*('2024 IR Data Book'!$A$5)</f>
        <v>269.83913917576376</v>
      </c>
      <c r="I18" s="28">
        <f>1005.15436493052*('2024 IR Data Book'!$A$5)</f>
        <v>273.69012822809998</v>
      </c>
      <c r="J18" s="28">
        <f>763.151258181049*('2024 IR Data Book'!$A$5)</f>
        <v>207.79590975903963</v>
      </c>
      <c r="K18" s="28">
        <f>L18-H18-I18-J18</f>
        <v>591.864933385482</v>
      </c>
      <c r="L18" s="28">
        <f>4933*(('2024 IR Data Book'!$A$5))</f>
        <v>1343.1901105483853</v>
      </c>
      <c r="M18" s="28">
        <f>2436*('2024 IR Data Book'!$A$5)</f>
        <v>663.29031204051626</v>
      </c>
      <c r="N18" s="28">
        <f>1849.42847834543*((('2024 IR Data Book'!$A$5)))</f>
        <v>503.57470956418609</v>
      </c>
      <c r="O18" s="28">
        <f>1372.25532887207*((('2024 IR Data Book'!$A$5)))</f>
        <v>373.6468248303845</v>
      </c>
      <c r="P18" s="28">
        <f>(Q18-M18-N18-O18)</f>
        <v>737.76649132133366</v>
      </c>
      <c r="Q18" s="28">
        <f>'[7]IS package Dec YTD''23 Exc Info'!$C$23*(('2024 IR Data Book'!$A$5))</f>
        <v>2278.2783377564206</v>
      </c>
      <c r="R18" s="28">
        <f>'[8]IS package 1st Qrt''24 Exc Info'!$C$23*(('2024 IR Data Book'!$A$5))</f>
        <v>277.53621547480208</v>
      </c>
      <c r="S18" s="28">
        <f>'[9]IS package 2nd Qrt''24 Exc Info'!$C$23*(('2024 IR Data Book'!$A$5))</f>
        <v>430.43383471395703</v>
      </c>
      <c r="T18" s="28">
        <f>'[10]IS package 3rd Qrt''24 Exc Info'!$C$23*(('2024 IR Data Book'!$A$5))</f>
        <v>273.75231208593209</v>
      </c>
      <c r="U18" s="28">
        <f t="shared" ref="U18:U22" si="17">T18-O18</f>
        <v>-99.894512744452413</v>
      </c>
      <c r="V18" s="32">
        <f t="shared" ref="V18:V20" si="18">U18/O18</f>
        <v>-0.26735009133236748</v>
      </c>
      <c r="W18" s="28">
        <f t="shared" ref="W18:W23" si="19">(R18+S18+T18)-(M18+N18+O18)</f>
        <v>-558.78948416039566</v>
      </c>
      <c r="X18" s="32">
        <f t="shared" ref="X18:X23" si="20">W18/(M18+N18+O18)</f>
        <v>-0.36272975469386731</v>
      </c>
    </row>
    <row r="19" spans="2:25" x14ac:dyDescent="0.2">
      <c r="B19" s="22" t="s">
        <v>50</v>
      </c>
      <c r="C19" s="28">
        <f>-15290*('2024 IR Data Book'!$A$5)</f>
        <v>-4163.2630833741759</v>
      </c>
      <c r="D19" s="28">
        <f>-15364*('2024 IR Data Book'!$A$5)</f>
        <v>-4183.412296465719</v>
      </c>
      <c r="E19" s="28">
        <f>-15494*('2024 IR Data Book'!$A$5)</f>
        <v>-4218.8095627076182</v>
      </c>
      <c r="F19" s="28">
        <f t="shared" si="16"/>
        <v>-3795.6760877852203</v>
      </c>
      <c r="G19" s="28">
        <f>-60088*('2024 IR Data Book'!$A$5)</f>
        <v>-16361.161030332734</v>
      </c>
      <c r="H19" s="28">
        <f>-12840.3882239414*('2024 IR Data Book'!$A$5)</f>
        <v>-3496.2664662477259</v>
      </c>
      <c r="I19" s="28">
        <f>-15376.8808591112*('2024 IR Data Book'!$A$5)</f>
        <v>-4186.9195826148225</v>
      </c>
      <c r="J19" s="28">
        <f>-16307.2683124092*('2024 IR Data Book'!$A$5)</f>
        <v>-4440.2516779418393</v>
      </c>
      <c r="K19" s="28">
        <f>L19-H19-I19-J19</f>
        <v>-7691.6796287475363</v>
      </c>
      <c r="L19" s="28">
        <f>-72773*(('2024 IR Data Book'!$A$5))</f>
        <v>-19815.117355551924</v>
      </c>
      <c r="M19" s="28">
        <f>-30466*('2024 IR Data Book'!$A$5)</f>
        <v>-8295.4854871208408</v>
      </c>
      <c r="N19" s="28">
        <f>-32581.7075606479*((('2024 IR Data Book'!$A$5)))</f>
        <v>-8871.5644395381751</v>
      </c>
      <c r="O19" s="28">
        <f>-32564.1677909506*((('2024 IR Data Book'!$A$5)))</f>
        <v>-8866.7885941705063</v>
      </c>
      <c r="P19" s="28">
        <f>(Q19-M19-N19-O19)</f>
        <v>-8860.2385949410964</v>
      </c>
      <c r="Q19" s="28">
        <f>'[7]IS package Dec YTD''23 Exc Info'!$C$24*(('2024 IR Data Book'!$A$5))</f>
        <v>-34894.077115770619</v>
      </c>
      <c r="R19" s="28">
        <f>'[8]IS package 1st Qrt''24 Exc Info'!$C$24*(('2024 IR Data Book'!$A$5))</f>
        <v>-8536.5758184471724</v>
      </c>
      <c r="S19" s="28">
        <f>'[9]IS package 2nd Qrt''24 Exc Info'!$C$24*(('2024 IR Data Book'!$A$5))</f>
        <v>-8305.3859103976029</v>
      </c>
      <c r="T19" s="28">
        <f>'[10]IS package 3rd Qrt''24 Exc Info'!$C$24*(('2024 IR Data Book'!$A$5))</f>
        <v>-8149.1907466469302</v>
      </c>
      <c r="U19" s="28">
        <f t="shared" si="17"/>
        <v>717.59784752357609</v>
      </c>
      <c r="V19" s="32">
        <f t="shared" si="18"/>
        <v>-8.0930975166743316E-2</v>
      </c>
      <c r="W19" s="28">
        <f t="shared" si="19"/>
        <v>1042.686045337814</v>
      </c>
      <c r="X19" s="32">
        <f t="shared" si="20"/>
        <v>-4.0051183558796638E-2</v>
      </c>
    </row>
    <row r="20" spans="2:25" x14ac:dyDescent="0.2">
      <c r="B20" s="26" t="s">
        <v>51</v>
      </c>
      <c r="C20" s="28">
        <f>2685*('2024 IR Data Book'!$A$5)</f>
        <v>731.08969122692372</v>
      </c>
      <c r="D20" s="28">
        <f>4608*('2024 IR Data Book'!$A$5)</f>
        <v>1254.6969449436365</v>
      </c>
      <c r="E20" s="28">
        <f>1911*('2024 IR Data Book'!$A$5)</f>
        <v>520.33981375592225</v>
      </c>
      <c r="F20" s="28">
        <f t="shared" si="16"/>
        <v>279.91068997440539</v>
      </c>
      <c r="G20" s="28">
        <f>10232*('2024 IR Data Book'!$A$5)</f>
        <v>2786.0371399008877</v>
      </c>
      <c r="H20" s="28">
        <f>3555.9604193588*('2024 IR Data Book'!$A$5)</f>
        <v>968.24059776692263</v>
      </c>
      <c r="I20" s="28">
        <f>4164.24552562748*('2024 IR Data Book'!$A$5)</f>
        <v>1133.8685197482655</v>
      </c>
      <c r="J20" s="28">
        <f>944.488232574719*(('2024 IR Data Book'!$A$5))</f>
        <v>257.17154946760303</v>
      </c>
      <c r="K20" s="28">
        <f>L20-H20-I20-J20</f>
        <v>146.70218869543913</v>
      </c>
      <c r="L20" s="28">
        <f>9203.47263576387*(('2024 IR Data Book'!$A$5))</f>
        <v>2505.9828556782304</v>
      </c>
      <c r="M20" s="28">
        <f>490*(('2024 IR Data Book'!$A$5))</f>
        <v>133.42046506562107</v>
      </c>
      <c r="N20" s="28">
        <f>1966.87130717546*((('2024 IR Data Book'!$A$5)))</f>
        <v>535.55282556648149</v>
      </c>
      <c r="O20" s="28">
        <f>1830.99104607217*((('2024 IR Data Book'!$A$5)))</f>
        <v>498.55444264885097</v>
      </c>
      <c r="P20" s="28">
        <f>(Q20-M20-N20-O20)</f>
        <v>349.69680244395062</v>
      </c>
      <c r="Q20" s="28">
        <f>'[7]IS package Dec YTD''23 Exc Info'!$C$25*(('2024 IR Data Book'!$A$5))</f>
        <v>1517.2245357249042</v>
      </c>
      <c r="R20" s="28">
        <f>'[8]IS package 1st Qrt''24 Exc Info'!$C$25*(('2024 IR Data Book'!$A$5))</f>
        <v>188.29474231264868</v>
      </c>
      <c r="S20" s="28">
        <f>'[9]IS package 2nd Qrt''24 Exc Info'!$C$25*(('2024 IR Data Book'!$A$5))</f>
        <v>59.949819086221943</v>
      </c>
      <c r="T20" s="28">
        <f>'[10]IS package 3rd Qrt''24 Exc Info'!$C$25*(('2024 IR Data Book'!$A$5))</f>
        <v>-208.89122840489489</v>
      </c>
      <c r="U20" s="35">
        <f t="shared" si="17"/>
        <v>-707.44567105374585</v>
      </c>
      <c r="V20" s="36">
        <f t="shared" si="18"/>
        <v>-1.4189938159913744</v>
      </c>
      <c r="W20" s="35">
        <f t="shared" si="19"/>
        <v>-1128.1744002869777</v>
      </c>
      <c r="X20" s="36">
        <f t="shared" si="20"/>
        <v>-0.96629344907860459</v>
      </c>
    </row>
    <row r="21" spans="2:25" x14ac:dyDescent="0.2">
      <c r="B21" s="23" t="s">
        <v>52</v>
      </c>
      <c r="C21" s="29">
        <f>SUM(C16:C20)</f>
        <v>18814.191580896375</v>
      </c>
      <c r="D21" s="29">
        <f t="shared" ref="D21:I21" si="21">SUM(D16:D20)</f>
        <v>24566.247345205022</v>
      </c>
      <c r="E21" s="29">
        <f t="shared" si="21"/>
        <v>15196.046397647429</v>
      </c>
      <c r="F21" s="29">
        <f t="shared" si="21"/>
        <v>12823.612699450101</v>
      </c>
      <c r="G21" s="29">
        <f t="shared" si="21"/>
        <v>71400.098023198821</v>
      </c>
      <c r="H21" s="29">
        <f t="shared" si="21"/>
        <v>18165.053257515356</v>
      </c>
      <c r="I21" s="29">
        <f t="shared" si="21"/>
        <v>14529.39126083193</v>
      </c>
      <c r="J21" s="29">
        <f t="shared" ref="J21:K21" si="22">SUM(J16:J20)</f>
        <v>9886.0774784078894</v>
      </c>
      <c r="K21" s="29">
        <f t="shared" si="22"/>
        <v>8253.6198597848816</v>
      </c>
      <c r="L21" s="29">
        <f t="shared" ref="L21:N21" si="23">SUM(L16:L20)</f>
        <v>50834.141856539907</v>
      </c>
      <c r="M21" s="29">
        <f t="shared" si="23"/>
        <v>9655.285084136598</v>
      </c>
      <c r="N21" s="29">
        <f t="shared" si="23"/>
        <v>6533.8292285514726</v>
      </c>
      <c r="O21" s="29">
        <f t="shared" ref="O21:Q21" si="24">SUM(O16:O20)</f>
        <v>4178.9513757477553</v>
      </c>
      <c r="P21" s="29">
        <f t="shared" si="24"/>
        <v>21141.483453500387</v>
      </c>
      <c r="Q21" s="29">
        <f t="shared" si="24"/>
        <v>41509.54914193615</v>
      </c>
      <c r="R21" s="29">
        <f t="shared" ref="R21:S21" si="25">SUM(R16:R20)</f>
        <v>17090.405215698429</v>
      </c>
      <c r="S21" s="29">
        <f t="shared" si="25"/>
        <v>4972.0757133741581</v>
      </c>
      <c r="T21" s="29">
        <f t="shared" ref="T21" si="26">SUM(T16:T20)</f>
        <v>10464.208438840158</v>
      </c>
      <c r="U21" s="37">
        <f t="shared" si="17"/>
        <v>6285.2570630924029</v>
      </c>
      <c r="V21" s="38">
        <f>U21/O21</f>
        <v>1.5040273259862371</v>
      </c>
      <c r="W21" s="37">
        <f t="shared" si="19"/>
        <v>12158.623679476921</v>
      </c>
      <c r="X21" s="38">
        <f t="shared" si="20"/>
        <v>0.59694542748750568</v>
      </c>
    </row>
    <row r="22" spans="2:25" x14ac:dyDescent="0.2">
      <c r="B22" s="22" t="s">
        <v>53</v>
      </c>
      <c r="C22" s="28">
        <f>-27647*('2024 IR Data Book'!$A$5)</f>
        <v>-7527.9093829984204</v>
      </c>
      <c r="D22" s="28">
        <f>-29409*('2024 IR Data Book'!$A$5)</f>
        <v>-8007.6784839078582</v>
      </c>
      <c r="E22" s="28">
        <f>-23812*('2024 IR Data Book'!$A$5)</f>
        <v>-6483.6900288623856</v>
      </c>
      <c r="F22" s="28">
        <f t="shared" ref="F22" si="27">G22-C22-D22-E22</f>
        <v>-164.46114469313488</v>
      </c>
      <c r="G22" s="28">
        <f>(-81472)*('2024 IR Data Book'!$A$5)</f>
        <v>-22183.739040461798</v>
      </c>
      <c r="H22" s="28">
        <f>-19735.8152716225*('2024 IR Data Book'!$A$5)</f>
        <v>-5373.799289773594</v>
      </c>
      <c r="I22" s="28">
        <f>-8349.12519583467*('2024 IR Data Book'!$A$5)</f>
        <v>-2273.3554418762374</v>
      </c>
      <c r="J22" s="28">
        <f>504.491688053108*(('2024 IR Data Book'!$A$5))</f>
        <v>137.3663584526243</v>
      </c>
      <c r="K22" s="28">
        <f>L22-H22-I22-J22</f>
        <v>519.10057708546083</v>
      </c>
      <c r="L22" s="28">
        <f>-25674*(('2024 IR Data Book'!$A$5))</f>
        <v>-6990.6877961117461</v>
      </c>
      <c r="M22" s="28">
        <f>-10898*(('2024 IR Data Book'!$A$5))</f>
        <v>-2967.3800577247725</v>
      </c>
      <c r="N22" s="28">
        <f>-4976.19455747377*((('2024 IR Data Book'!$A$5)))</f>
        <v>-1354.9514124799243</v>
      </c>
      <c r="O22" s="28">
        <f>-6324.87949189749*((('2024 IR Data Book'!$A$5)))</f>
        <v>-1722.1803332509637</v>
      </c>
      <c r="P22" s="28">
        <f>(Q22-M22-N22-O22)</f>
        <v>-140.03665497206953</v>
      </c>
      <c r="Q22" s="28">
        <f>'[7]IS package Dec YTD''23 Exc Info'!$C$27*(('2024 IR Data Book'!$A$5))</f>
        <v>-6184.5484584277301</v>
      </c>
      <c r="R22" s="28">
        <f>'[8]IS package 1st Qrt''24 Exc Info'!$C$27*(('2024 IR Data Book'!$A$5))</f>
        <v>-4286.3164999864694</v>
      </c>
      <c r="S22" s="28">
        <f>'[9]IS package 2nd Qrt''24 Exc Info'!$C$27*(('2024 IR Data Book'!$A$5))</f>
        <v>-4059.5115674077501</v>
      </c>
      <c r="T22" s="28">
        <f>'[10]IS package 3rd Qrt''24 Exc Info'!$C$27*(('2024 IR Data Book'!$A$5))</f>
        <v>-3025.1715305897601</v>
      </c>
      <c r="U22" s="28">
        <f t="shared" si="17"/>
        <v>-1302.9911973387964</v>
      </c>
      <c r="V22" s="32">
        <f>U22/O22</f>
        <v>0.7565939362918731</v>
      </c>
      <c r="W22" s="28">
        <f t="shared" si="19"/>
        <v>-5326.4877945283179</v>
      </c>
      <c r="X22" s="32">
        <f t="shared" si="20"/>
        <v>0.88121058701269361</v>
      </c>
    </row>
    <row r="23" spans="2:25" ht="15" x14ac:dyDescent="0.25">
      <c r="B23" s="23" t="s">
        <v>54</v>
      </c>
      <c r="C23" s="30">
        <f>SUM(C21:C22)</f>
        <v>11286.282197897955</v>
      </c>
      <c r="D23" s="30">
        <f>SUM(D21:D22)</f>
        <v>16558.568861297164</v>
      </c>
      <c r="E23" s="30">
        <f t="shared" ref="E23:G23" si="28">SUM(E21:E22)</f>
        <v>8712.3563687850437</v>
      </c>
      <c r="F23" s="30">
        <f t="shared" si="28"/>
        <v>12659.151554756965</v>
      </c>
      <c r="G23" s="30">
        <f t="shared" si="28"/>
        <v>49216.358982737023</v>
      </c>
      <c r="H23" s="30">
        <f t="shared" ref="H23:N23" si="29">SUM(H21:H22)</f>
        <v>12791.253967741763</v>
      </c>
      <c r="I23" s="30">
        <f t="shared" si="29"/>
        <v>12256.035818955692</v>
      </c>
      <c r="J23" s="30">
        <f t="shared" si="29"/>
        <v>10023.443836860513</v>
      </c>
      <c r="K23" s="30">
        <f t="shared" si="29"/>
        <v>8772.7204368703424</v>
      </c>
      <c r="L23" s="30">
        <f t="shared" si="29"/>
        <v>43843.454060428165</v>
      </c>
      <c r="M23" s="30">
        <f t="shared" si="29"/>
        <v>6687.905026411825</v>
      </c>
      <c r="N23" s="30">
        <f t="shared" si="29"/>
        <v>5178.8778160715483</v>
      </c>
      <c r="O23" s="30">
        <f t="shared" ref="O23:Q23" si="30">SUM(O21:O22)</f>
        <v>2456.7710424967918</v>
      </c>
      <c r="P23" s="30">
        <f t="shared" si="30"/>
        <v>21001.446798528315</v>
      </c>
      <c r="Q23" s="30">
        <f t="shared" si="30"/>
        <v>35325.00068350842</v>
      </c>
      <c r="R23" s="30">
        <f t="shared" ref="R23:S23" si="31">SUM(R21:R22)</f>
        <v>12804.08871571196</v>
      </c>
      <c r="S23" s="30">
        <f t="shared" si="31"/>
        <v>912.56414596640798</v>
      </c>
      <c r="T23" s="30">
        <f t="shared" ref="T23" si="32">SUM(T21:T22)</f>
        <v>7439.0369082503985</v>
      </c>
      <c r="U23" s="39">
        <f>T23-O23</f>
        <v>4982.2658657536067</v>
      </c>
      <c r="V23" s="40">
        <f>U23/O23</f>
        <v>2.0279732134461255</v>
      </c>
      <c r="W23" s="39">
        <f t="shared" si="19"/>
        <v>6832.1358849486005</v>
      </c>
      <c r="X23" s="40">
        <f t="shared" si="20"/>
        <v>0.47698608458567343</v>
      </c>
      <c r="Y23" s="210"/>
    </row>
    <row r="24" spans="2:25" x14ac:dyDescent="0.2">
      <c r="B24" s="23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2"/>
      <c r="W24" s="28"/>
      <c r="X24" s="32"/>
    </row>
    <row r="25" spans="2:25" x14ac:dyDescent="0.2">
      <c r="B25" s="23" t="s">
        <v>55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2"/>
      <c r="W25" s="28"/>
      <c r="X25" s="32"/>
      <c r="Y25" s="2"/>
    </row>
    <row r="26" spans="2:25" x14ac:dyDescent="0.2">
      <c r="B26" s="22" t="s">
        <v>56</v>
      </c>
      <c r="C26" s="28">
        <f>5895*('2024 IR Data Book'!$A$5)</f>
        <v>1605.1298807384414</v>
      </c>
      <c r="D26" s="28">
        <f>5432*('2024 IR Data Book'!$A$5)</f>
        <v>1479.0611555845994</v>
      </c>
      <c r="E26" s="28">
        <f>5037*('2024 IR Data Book'!$A$5)</f>
        <v>1371.5079235419048</v>
      </c>
      <c r="F26" s="28">
        <f t="shared" ref="F26:F27" si="33">G26-C26-D26-E26</f>
        <v>-169.63459129771809</v>
      </c>
      <c r="G26" s="28">
        <f>(15741)*('2024 IR Data Book'!$A$5)</f>
        <v>4286.0643685672276</v>
      </c>
      <c r="H26" s="28">
        <f>8.02103920024501*('2024 IR Data Book'!$A$5)</f>
        <v>2.1840220008291156</v>
      </c>
      <c r="I26" s="28">
        <f>-23.9996667664583*('2024 IR Data Book'!$A$5)</f>
        <v>-6.5347891865322385</v>
      </c>
      <c r="J26" s="28">
        <f>1191.33466071547*(('2024 IR Data Book'!$A$5))</f>
        <v>324.3845397580651</v>
      </c>
      <c r="K26" s="28">
        <f>L26-H26-I26-J26</f>
        <v>-88.045535356220853</v>
      </c>
      <c r="L26" s="28">
        <f>852*(('2024 IR Data Book'!$A$5))</f>
        <v>231.98823721614113</v>
      </c>
      <c r="M26" s="28">
        <f>-360*(('2024 IR Data Book'!$A$5))</f>
        <v>-98.023198823721614</v>
      </c>
      <c r="N26" s="28">
        <f>-543.672105395049*((('2024 IR Data Book'!$A$5)))</f>
        <v>-148.0346635612506</v>
      </c>
      <c r="O26" s="28">
        <f>-333.444620318354*((('2024 IR Data Book'!$A$5)))</f>
        <v>-90.792523094906599</v>
      </c>
      <c r="P26" s="28">
        <f>(Q26-M26-N26-O26)</f>
        <v>-24.990194797842449</v>
      </c>
      <c r="Q26" s="28">
        <f>'[7]IS package Dec YTD''23 Exc Info'!$C$31*(('2024 IR Data Book'!$A$5))</f>
        <v>-361.84058027772124</v>
      </c>
      <c r="R26" s="28">
        <f>'[8]IS package 1st Qrt''24 Exc Info'!$C$31*(('2024 IR Data Book'!$A$5))</f>
        <v>-77.398393150684925</v>
      </c>
      <c r="S26" s="28">
        <f>'[9]IS package 2nd Qrt''24 Exc Info'!$C$31*(('2024 IR Data Book'!$A$5))</f>
        <v>-72.796667345744851</v>
      </c>
      <c r="T26" s="28">
        <f>'[10]IS package 3rd Qrt''24 Exc Info'!$C$31*(('2024 IR Data Book'!$A$5))</f>
        <v>-54.663228219178094</v>
      </c>
      <c r="U26" s="28">
        <f>T26-O26</f>
        <v>36.129294875728505</v>
      </c>
      <c r="V26" s="32">
        <f>U26/O26</f>
        <v>-0.39793249096031935</v>
      </c>
      <c r="W26" s="28">
        <f>(R26+S26+T26)-(M26+N26+O26)</f>
        <v>131.99209676427091</v>
      </c>
      <c r="X26" s="32">
        <f>W26/(M26+N26+O26)</f>
        <v>-0.39184190505299343</v>
      </c>
    </row>
    <row r="27" spans="2:25" x14ac:dyDescent="0.2">
      <c r="B27" s="22" t="s">
        <v>57</v>
      </c>
      <c r="C27" s="28">
        <f>0*('2024 IR Data Book'!$A$5)</f>
        <v>0</v>
      </c>
      <c r="D27" s="28">
        <f>0*('2024 IR Data Book'!$A$5)</f>
        <v>0</v>
      </c>
      <c r="E27" s="28">
        <f>31608*('2024 IR Data Book'!$A$5)</f>
        <v>8606.4368567227575</v>
      </c>
      <c r="F27" s="28">
        <f t="shared" si="33"/>
        <v>0</v>
      </c>
      <c r="G27" s="28">
        <f>(31608)*('2024 IR Data Book'!$A$5)</f>
        <v>8606.4368567227575</v>
      </c>
      <c r="H27" s="28">
        <f>800.0869278*('2024 IR Data Book'!$A$5)</f>
        <v>217.85299999999998</v>
      </c>
      <c r="I27" s="28">
        <f>0*('2024 IR Data Book'!$A$5)</f>
        <v>0</v>
      </c>
      <c r="J27" s="28">
        <f>1520.9044572*(('2024 IR Data Book'!$A$5))</f>
        <v>414.12199999999996</v>
      </c>
      <c r="K27" s="28">
        <f>L27-H27-I27-J27</f>
        <v>325.11262184828195</v>
      </c>
      <c r="L27" s="28">
        <f>3515*(('2024 IR Data Book'!$A$5))</f>
        <v>957.08762184828186</v>
      </c>
      <c r="M27" s="28">
        <f>0*('2024 IR Data Book'!$A$5)</f>
        <v>0</v>
      </c>
      <c r="N27" s="28"/>
      <c r="O27" s="28"/>
      <c r="P27" s="28">
        <f>(Q27-M27-N27-O27)</f>
        <v>0</v>
      </c>
      <c r="Q27" s="28">
        <f>'[7]IS package Dec YTD''23 Exc Info'!$C$32*(('2024 IR Data Book'!$A$5))</f>
        <v>0</v>
      </c>
      <c r="R27" s="28">
        <f>'[8]IS package 1st Qrt''24 Exc Info'!$C$32*(('2024 IR Data Book'!$A$5))</f>
        <v>0</v>
      </c>
      <c r="S27" s="28">
        <f>'[9]IS package 2nd Qrt''24 Exc Info'!$C$32*(('2024 IR Data Book'!$A$5))</f>
        <v>0</v>
      </c>
      <c r="T27" s="28">
        <f>'[10]IS package 3rd Qrt''24 Exc Info'!$C$32*(('2024 IR Data Book'!$A$5))</f>
        <v>0</v>
      </c>
      <c r="U27" s="28">
        <f>T27-O27</f>
        <v>0</v>
      </c>
      <c r="V27" s="32"/>
      <c r="W27" s="28"/>
      <c r="X27" s="32"/>
    </row>
    <row r="28" spans="2:25" ht="15" x14ac:dyDescent="0.25">
      <c r="B28" s="23" t="s">
        <v>58</v>
      </c>
      <c r="C28" s="30">
        <f>C26+C23+C27</f>
        <v>12891.412078636396</v>
      </c>
      <c r="D28" s="30">
        <f>D26+D23+D27</f>
        <v>18037.630016881765</v>
      </c>
      <c r="E28" s="30">
        <f t="shared" ref="E28:G28" si="34">E26+E23+E27</f>
        <v>18690.301149049708</v>
      </c>
      <c r="F28" s="30">
        <f t="shared" si="34"/>
        <v>12489.516963459248</v>
      </c>
      <c r="G28" s="30">
        <f t="shared" si="34"/>
        <v>62108.860208027007</v>
      </c>
      <c r="H28" s="30">
        <f t="shared" ref="H28:N28" si="35">H26+H23+H27</f>
        <v>13011.290989742591</v>
      </c>
      <c r="I28" s="30">
        <f t="shared" si="35"/>
        <v>12249.501029769159</v>
      </c>
      <c r="J28" s="30">
        <f t="shared" si="35"/>
        <v>10761.950376618577</v>
      </c>
      <c r="K28" s="30">
        <f t="shared" si="35"/>
        <v>9009.7875233624036</v>
      </c>
      <c r="L28" s="30">
        <f t="shared" si="35"/>
        <v>45032.52991949259</v>
      </c>
      <c r="M28" s="30">
        <f t="shared" si="35"/>
        <v>6589.8818275881031</v>
      </c>
      <c r="N28" s="30">
        <f t="shared" si="35"/>
        <v>5030.8431525102978</v>
      </c>
      <c r="O28" s="30">
        <f t="shared" ref="O28:Q28" si="36">O26+O23+O27</f>
        <v>2365.978519401885</v>
      </c>
      <c r="P28" s="30">
        <f t="shared" si="36"/>
        <v>20976.456603730472</v>
      </c>
      <c r="Q28" s="30">
        <f t="shared" si="36"/>
        <v>34963.160103230701</v>
      </c>
      <c r="R28" s="30">
        <f t="shared" ref="R28:S28" si="37">R26+R23+R27</f>
        <v>12726.690322561275</v>
      </c>
      <c r="S28" s="30">
        <f t="shared" si="37"/>
        <v>839.76747862066316</v>
      </c>
      <c r="T28" s="30">
        <f t="shared" ref="T28" si="38">T26+T23+T27</f>
        <v>7384.3736800312208</v>
      </c>
      <c r="U28" s="39">
        <f>T28-O28</f>
        <v>5018.3951606293358</v>
      </c>
      <c r="V28" s="222">
        <f>U28/O28</f>
        <v>2.1210653940755035</v>
      </c>
      <c r="W28" s="39">
        <f>(R28+S28+T28)-(M28+N28+O28)</f>
        <v>6964.1279817128707</v>
      </c>
      <c r="X28" s="222">
        <f>W28/(M28+N28+O28)</f>
        <v>0.49791060359302558</v>
      </c>
      <c r="Y28" s="210"/>
    </row>
    <row r="29" spans="2:25" x14ac:dyDescent="0.2"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32"/>
      <c r="W29" s="28"/>
      <c r="X29" s="32"/>
    </row>
    <row r="30" spans="2:25" x14ac:dyDescent="0.2">
      <c r="B30" s="23" t="s">
        <v>59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2"/>
      <c r="W30" s="28"/>
      <c r="X30" s="32"/>
    </row>
    <row r="31" spans="2:25" x14ac:dyDescent="0.2">
      <c r="B31" s="27" t="s">
        <v>60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32"/>
      <c r="W31" s="28"/>
      <c r="X31" s="32"/>
    </row>
    <row r="32" spans="2:25" x14ac:dyDescent="0.2">
      <c r="B32" s="22" t="s">
        <v>61</v>
      </c>
      <c r="C32" s="28">
        <f>40656*('2024 IR Data Book'!$A$5)</f>
        <v>11070.086587158961</v>
      </c>
      <c r="D32" s="28">
        <f>60419*('2024 IR Data Book'!$A$5)</f>
        <v>16451.287915917877</v>
      </c>
      <c r="E32" s="28">
        <f>31350*('2024 IR Data Book'!$A$5)</f>
        <v>8536.1868975657562</v>
      </c>
      <c r="F32" s="28">
        <f t="shared" ref="F32:F33" si="39">G32-C32-D32-E32</f>
        <v>12762.075913521752</v>
      </c>
      <c r="G32" s="28">
        <f>(179295)*('2024 IR Data Book'!$A$5)</f>
        <v>48819.637314164349</v>
      </c>
      <c r="H32" s="28">
        <f>46494.1878882839*('2024 IR Data Book'!$A$5)</f>
        <v>12659.74728755756</v>
      </c>
      <c r="I32" s="28">
        <f>44592.4391410097*('2024 IR Data Book'!$A$5)</f>
        <v>12141.926466538611</v>
      </c>
      <c r="J32" s="28">
        <f>36931.2203883523*(('2024 IR Data Book'!$A$5))</f>
        <v>10055.878774805942</v>
      </c>
      <c r="K32" s="28">
        <f>L32-H32-I32-J32</f>
        <v>8983.8677183341733</v>
      </c>
      <c r="L32" s="28">
        <f>161012*(('2024 IR Data Book'!$A$5))</f>
        <v>43841.420247236289</v>
      </c>
      <c r="M32" s="28">
        <f>24269*(('2024 IR Data Book'!$A$5))</f>
        <v>6608.1250340358329</v>
      </c>
      <c r="N32" s="28">
        <f>19504.2554196132*((('2024 IR Data Book'!$A$5)))</f>
        <v>5310.7486302927628</v>
      </c>
      <c r="O32" s="28">
        <f>9974.73454692485*((('2024 IR Data Book'!$A$5)))</f>
        <v>2715.9871880751648</v>
      </c>
      <c r="P32" s="28">
        <f>(Q32-M32-N32-O32)</f>
        <v>20932.776649027892</v>
      </c>
      <c r="Q32" s="28">
        <f>'[7]IS package Dec YTD''23 Exc Info'!$C$37*(('2024 IR Data Book'!$A$5))</f>
        <v>35567.637501431651</v>
      </c>
      <c r="R32" s="28">
        <f>'[8]IS package 1st Qrt''24 Exc Info'!$C$37*(('2024 IR Data Book'!$A$5))</f>
        <v>12756.387733560859</v>
      </c>
      <c r="S32" s="28">
        <f>'[9]IS package 2nd Qrt''24 Exc Info'!$C$37*(('2024 IR Data Book'!$A$5))</f>
        <v>860.56273142724717</v>
      </c>
      <c r="T32" s="28">
        <f>'[10]IS package 3rd Qrt''24 Exc Info'!$C$37*(('2024 IR Data Book'!$A$5))</f>
        <v>7320.6693434510325</v>
      </c>
      <c r="U32" s="28">
        <f>T32-O32</f>
        <v>4604.6821553758673</v>
      </c>
      <c r="V32" s="32">
        <f>U32/O32</f>
        <v>1.6953990709504161</v>
      </c>
      <c r="W32" s="28">
        <f>(R32+S32+T32)-(M32+N32+O32)</f>
        <v>6302.758956035379</v>
      </c>
      <c r="X32" s="32">
        <f>W32/(M32+N32+O32)</f>
        <v>0.43066750135859044</v>
      </c>
    </row>
    <row r="33" spans="2:26" x14ac:dyDescent="0.2">
      <c r="B33" s="22" t="s">
        <v>62</v>
      </c>
      <c r="C33" s="28">
        <f>5357*('2024 IR Data Book'!$A$5)</f>
        <v>1458.6396558296574</v>
      </c>
      <c r="D33" s="28">
        <f>5047*('2024 IR Data Book'!$A$5)</f>
        <v>1374.230790175897</v>
      </c>
      <c r="E33" s="28">
        <f>36465*('2024 IR Data Book'!$A$5)</f>
        <v>9928.9331808528004</v>
      </c>
      <c r="F33" s="28">
        <f t="shared" si="39"/>
        <v>-169.63459129771945</v>
      </c>
      <c r="G33" s="28">
        <f>(46246)*('2024 IR Data Book'!$A$5)</f>
        <v>12592.169035560637</v>
      </c>
      <c r="H33" s="28">
        <f>808.109436040245*('2024 IR Data Book'!$A$5)</f>
        <v>220.03742200082911</v>
      </c>
      <c r="I33" s="28">
        <f>-24.0000340264582*('2024 IR Data Book'!$A$5)</f>
        <v>-6.5348891865322107</v>
      </c>
      <c r="J33" s="28">
        <f>2712.23853029947*(('2024 IR Data Book'!$A$5))</f>
        <v>738.50637975806501</v>
      </c>
      <c r="K33" s="28">
        <f>L33-H33-I33-J33</f>
        <v>237.06694649206099</v>
      </c>
      <c r="L33" s="28">
        <f>4367*(('2024 IR Data Book'!$A$5))</f>
        <v>1189.075859064423</v>
      </c>
      <c r="M33" s="28">
        <f>-360*(('2024 IR Data Book'!$A$5))</f>
        <v>-98.023198823721614</v>
      </c>
      <c r="N33" s="28">
        <f>-543.672178847049*((('2024 IR Data Book'!$A$5)))</f>
        <v>-148.03468356125063</v>
      </c>
      <c r="O33" s="28">
        <f>-333.444583592354*((('2024 IR Data Book'!$A$5)))</f>
        <v>-90.792513094906596</v>
      </c>
      <c r="P33" s="28">
        <f>(Q33-M33-N33-O33)</f>
        <v>-24.990804797842443</v>
      </c>
      <c r="Q33" s="28">
        <f>'[7]IS package Dec YTD''23 Exc Info'!$C$38*(('2024 IR Data Book'!$A$5))</f>
        <v>-361.84120027772127</v>
      </c>
      <c r="R33" s="28">
        <f>'[8]IS package 1st Qrt''24 Exc Info'!$C$38*(('2024 IR Data Book'!$A$5))</f>
        <v>-77.39840315068497</v>
      </c>
      <c r="S33" s="28">
        <f>'[9]IS package 2nd Qrt''24 Exc Info'!$C$38*(('2024 IR Data Book'!$A$5))</f>
        <v>-72.796667345744822</v>
      </c>
      <c r="T33" s="28">
        <f>'[10]IS package 3rd Qrt''24 Exc Info'!$C$38*(('2024 IR Data Book'!$A$5))</f>
        <v>-54.663228219178066</v>
      </c>
      <c r="U33" s="28">
        <f>T33-O33</f>
        <v>36.12928487572853</v>
      </c>
      <c r="V33" s="32">
        <f>U33/O33</f>
        <v>-0.39793242464785744</v>
      </c>
      <c r="W33" s="28">
        <f>(R33+S33+T33)-(M33+N33+O33)</f>
        <v>131.99209676427097</v>
      </c>
      <c r="X33" s="32">
        <f>W33/(M33+N33+O33)</f>
        <v>-0.39184189342047332</v>
      </c>
    </row>
    <row r="34" spans="2:26" ht="15" x14ac:dyDescent="0.25">
      <c r="B34" s="22"/>
      <c r="C34" s="30">
        <f>SUM(C32:C33)</f>
        <v>12528.726242988618</v>
      </c>
      <c r="D34" s="30">
        <f>SUM(D32:D33)</f>
        <v>17825.518706093775</v>
      </c>
      <c r="E34" s="30">
        <f t="shared" ref="E34:G34" si="40">SUM(E32:E33)</f>
        <v>18465.120078418557</v>
      </c>
      <c r="F34" s="30">
        <f t="shared" si="40"/>
        <v>12592.441322224033</v>
      </c>
      <c r="G34" s="30">
        <f t="shared" si="40"/>
        <v>61411.806349724982</v>
      </c>
      <c r="H34" s="30">
        <f t="shared" ref="H34:N34" si="41">SUM(H32:H33)</f>
        <v>12879.784709558389</v>
      </c>
      <c r="I34" s="30">
        <f t="shared" si="41"/>
        <v>12135.391577352078</v>
      </c>
      <c r="J34" s="30">
        <f t="shared" si="41"/>
        <v>10794.385154564006</v>
      </c>
      <c r="K34" s="30">
        <f t="shared" si="41"/>
        <v>9220.9346648262344</v>
      </c>
      <c r="L34" s="30">
        <f t="shared" si="41"/>
        <v>45030.496106300714</v>
      </c>
      <c r="M34" s="30">
        <f t="shared" si="41"/>
        <v>6510.1018352121109</v>
      </c>
      <c r="N34" s="30">
        <f t="shared" si="41"/>
        <v>5162.7139467315119</v>
      </c>
      <c r="O34" s="30">
        <f t="shared" ref="O34:Q34" si="42">SUM(O32:O33)</f>
        <v>2625.1946749802582</v>
      </c>
      <c r="P34" s="30">
        <f t="shared" si="42"/>
        <v>20907.785844230049</v>
      </c>
      <c r="Q34" s="30">
        <f t="shared" si="42"/>
        <v>35205.796301153932</v>
      </c>
      <c r="R34" s="30">
        <f t="shared" ref="R34:S34" si="43">SUM(R32:R33)</f>
        <v>12678.989330410175</v>
      </c>
      <c r="S34" s="30">
        <f t="shared" si="43"/>
        <v>787.76606408150235</v>
      </c>
      <c r="T34" s="30">
        <f t="shared" ref="T34" si="44">SUM(T32:T33)</f>
        <v>7266.0061152318549</v>
      </c>
      <c r="U34" s="39">
        <f>T34-O34</f>
        <v>4640.8114402515967</v>
      </c>
      <c r="V34" s="222">
        <f>U34/O34</f>
        <v>1.7677970645306509</v>
      </c>
      <c r="W34" s="39">
        <f>(R34+S34+T34)-(M34+N34+O34)</f>
        <v>6434.7510527996492</v>
      </c>
      <c r="X34" s="222">
        <f>W34/(M34+N34+O34)</f>
        <v>0.45004520539314535</v>
      </c>
      <c r="Y34" s="210"/>
    </row>
    <row r="35" spans="2:26" x14ac:dyDescent="0.2">
      <c r="B35" s="27" t="s">
        <v>63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2"/>
      <c r="W35" s="28"/>
      <c r="X35" s="32"/>
      <c r="Y35" s="2"/>
      <c r="Z35" s="2"/>
    </row>
    <row r="36" spans="2:26" x14ac:dyDescent="0.2">
      <c r="B36" s="22" t="s">
        <v>64</v>
      </c>
      <c r="C36" s="28">
        <f>794*('2024 IR Data Book'!$A$5)</f>
        <v>216.19561073898601</v>
      </c>
      <c r="D36" s="28">
        <f>394*('2024 IR Data Book'!$A$5)</f>
        <v>107.28094537929532</v>
      </c>
      <c r="E36" s="28">
        <f>647*('2024 IR Data Book'!$A$5)</f>
        <v>176.16947121929968</v>
      </c>
      <c r="F36" s="28">
        <f t="shared" ref="F36:F37" si="45">G36-C36-D36-E36</f>
        <v>-102.92435876490769</v>
      </c>
      <c r="G36" s="28">
        <f>1457*('2024 IR Data Book'!$A$5)</f>
        <v>396.72166857267331</v>
      </c>
      <c r="H36" s="28">
        <f>482.969964602641*('2024 IR Data Book'!$A$5)</f>
        <v>131.50628018369574</v>
      </c>
      <c r="I36" s="28">
        <f>420*('2024 IR Data Book'!$A$5)</f>
        <v>114.36039862767521</v>
      </c>
      <c r="J36" s="28">
        <f>-119.121592951046*(('2024 IR Data Book'!$A$5))</f>
        <v>-32.435221083441157</v>
      </c>
      <c r="K36" s="28">
        <f>L36-H36-I36-J36</f>
        <v>-211.53763197581196</v>
      </c>
      <c r="L36" s="28">
        <f>6.95526445722799*(('2024 IR Data Book'!$A$5))</f>
        <v>1.893825752117843</v>
      </c>
      <c r="M36" s="28">
        <f>293*(('2024 IR Data Book'!$A$5))</f>
        <v>79.779992375973421</v>
      </c>
      <c r="N36" s="28">
        <f>-484.30867885866*((('2024 IR Data Book'!$A$5)))</f>
        <v>-131.87079422171215</v>
      </c>
      <c r="O36" s="28">
        <f>-951.99963214133*((('2024 IR Data Book'!$A$5)))</f>
        <v>-259.21680339305397</v>
      </c>
      <c r="P36" s="28">
        <f>(Q36-M36-N36-O36)</f>
        <v>68.670756938423239</v>
      </c>
      <c r="Q36" s="28">
        <f>'[7]IS package Dec YTD''23 Exc Info'!$C$41*(('2024 IR Data Book'!$A$5))</f>
        <v>-242.63684830036948</v>
      </c>
      <c r="R36" s="28">
        <f>'[8]IS package 1st Qrt''24 Exc Info'!$C$41*(('2024 IR Data Book'!$A$5))</f>
        <v>47.700992151094567</v>
      </c>
      <c r="S36" s="28">
        <f>'[9]IS package 2nd Qrt''24 Exc Info'!$C$41*(('2024 IR Data Book'!$A$5))</f>
        <v>52.001414539202059</v>
      </c>
      <c r="T36" s="28">
        <f>'[10]IS package 3rd Qrt''24 Exc Info'!$C$41*(('2024 IR Data Book'!$A$5))</f>
        <v>118.36756479925543</v>
      </c>
      <c r="U36" s="28">
        <f>T36-O36</f>
        <v>377.5843681923094</v>
      </c>
      <c r="V36" s="32">
        <f>U36/O36</f>
        <v>-1.4566353849359568</v>
      </c>
      <c r="W36" s="28">
        <f>(R36+S36+T36)-(M36+N36+O36)</f>
        <v>529.37757672834482</v>
      </c>
      <c r="X36" s="32">
        <f>W36/(M36+N36+O36)</f>
        <v>-1.7004967685330996</v>
      </c>
    </row>
    <row r="37" spans="2:26" x14ac:dyDescent="0.2">
      <c r="B37" s="22" t="s">
        <v>65</v>
      </c>
      <c r="C37" s="28">
        <f>538*('2024 IR Data Book'!$A$5)</f>
        <v>146.49022490878397</v>
      </c>
      <c r="D37" s="28">
        <f>385*('2024 IR Data Book'!$A$5)</f>
        <v>104.83036540870228</v>
      </c>
      <c r="E37" s="28">
        <f>180*('2024 IR Data Book'!$A$5)</f>
        <v>49.011599411860807</v>
      </c>
      <c r="F37" s="28">
        <f t="shared" si="45"/>
        <v>0</v>
      </c>
      <c r="G37" s="28">
        <f>(1103)*('2024 IR Data Book'!$A$5)</f>
        <v>300.33218972934702</v>
      </c>
      <c r="H37" s="28">
        <f>0*('2024 IR Data Book'!$A$5)</f>
        <v>0</v>
      </c>
      <c r="I37" s="28">
        <f>0*('2024 IR Data Book'!$A$5)</f>
        <v>0</v>
      </c>
      <c r="J37" s="28">
        <f>0*(('2024 IR Data Book'!$A$5))</f>
        <v>0</v>
      </c>
      <c r="K37" s="28">
        <f>L37-H37-I37-J37</f>
        <v>0</v>
      </c>
      <c r="L37" s="28">
        <f>0*(('2024 IR Data Book'!$A$5))</f>
        <v>0</v>
      </c>
      <c r="M37" s="28">
        <f>0*(('2024 IR Data Book'!$A$5))</f>
        <v>0</v>
      </c>
      <c r="N37" s="28">
        <f>0*((('2024 IR Data Book'!$A$5)))</f>
        <v>0</v>
      </c>
      <c r="O37" s="28">
        <f>0*((('2024 IR Data Book'!$A$5)))</f>
        <v>0</v>
      </c>
      <c r="P37" s="28">
        <f>(Q37-M37-N37-O37)</f>
        <v>0</v>
      </c>
      <c r="Q37" s="28">
        <f>0*(('2024 IR Data Book'!$A$5))</f>
        <v>0</v>
      </c>
      <c r="R37" s="28">
        <f>0*(('2024 IR Data Book'!$A$5))</f>
        <v>0</v>
      </c>
      <c r="S37" s="28">
        <f>0*(('2024 IR Data Book'!$A$5))</f>
        <v>0</v>
      </c>
      <c r="T37" s="28">
        <f>0*(('2024 IR Data Book'!$A$5))</f>
        <v>0</v>
      </c>
      <c r="U37" s="28">
        <f>T37-O37</f>
        <v>0</v>
      </c>
      <c r="V37" s="32"/>
      <c r="W37" s="28"/>
      <c r="X37" s="32"/>
    </row>
    <row r="38" spans="2:26" ht="15" x14ac:dyDescent="0.25">
      <c r="B38" s="23"/>
      <c r="C38" s="30">
        <f>SUM(C36:C37)</f>
        <v>362.68583564776998</v>
      </c>
      <c r="D38" s="30">
        <f>SUM(D36:D37)</f>
        <v>212.11131078799758</v>
      </c>
      <c r="E38" s="30">
        <f t="shared" ref="E38:G38" si="46">SUM(E36:E37)</f>
        <v>225.18107063116048</v>
      </c>
      <c r="F38" s="30">
        <f t="shared" si="46"/>
        <v>-102.92435876490769</v>
      </c>
      <c r="G38" s="30">
        <f t="shared" si="46"/>
        <v>697.05385830202033</v>
      </c>
      <c r="H38" s="30">
        <f t="shared" ref="H38:N38" si="47">SUM(H36:H37)</f>
        <v>131.50628018369574</v>
      </c>
      <c r="I38" s="30">
        <f t="shared" si="47"/>
        <v>114.36039862767521</v>
      </c>
      <c r="J38" s="30">
        <f t="shared" si="47"/>
        <v>-32.435221083441157</v>
      </c>
      <c r="K38" s="30">
        <f t="shared" si="47"/>
        <v>-211.53763197581196</v>
      </c>
      <c r="L38" s="30">
        <f t="shared" si="47"/>
        <v>1.893825752117843</v>
      </c>
      <c r="M38" s="30">
        <f t="shared" si="47"/>
        <v>79.779992375973421</v>
      </c>
      <c r="N38" s="30">
        <f t="shared" si="47"/>
        <v>-131.87079422171215</v>
      </c>
      <c r="O38" s="30">
        <f t="shared" ref="O38:Q38" si="48">SUM(O36:O37)</f>
        <v>-259.21680339305397</v>
      </c>
      <c r="P38" s="30">
        <f t="shared" si="48"/>
        <v>68.670756938423239</v>
      </c>
      <c r="Q38" s="30">
        <f t="shared" si="48"/>
        <v>-242.63684830036948</v>
      </c>
      <c r="R38" s="30">
        <f t="shared" ref="R38:S38" si="49">SUM(R36:R37)</f>
        <v>47.700992151094567</v>
      </c>
      <c r="S38" s="30">
        <f t="shared" si="49"/>
        <v>52.001414539202059</v>
      </c>
      <c r="T38" s="30">
        <f t="shared" ref="T38" si="50">SUM(T36:T37)</f>
        <v>118.36756479925543</v>
      </c>
      <c r="U38" s="39">
        <f>T38-O38</f>
        <v>377.5843681923094</v>
      </c>
      <c r="V38" s="40">
        <f>U38/O38</f>
        <v>-1.4566353849359568</v>
      </c>
      <c r="W38" s="39">
        <f>(R38+S38+T38)-(M38+N38+O38)</f>
        <v>529.37757672834482</v>
      </c>
      <c r="X38" s="40">
        <f>W38/(M38+N38+O38)</f>
        <v>-1.7004967685330996</v>
      </c>
    </row>
    <row r="39" spans="2:26" x14ac:dyDescent="0.2">
      <c r="B39" s="23"/>
      <c r="V39" s="33"/>
      <c r="X39" s="33"/>
    </row>
    <row r="40" spans="2:26" x14ac:dyDescent="0.2">
      <c r="B40" s="23" t="s">
        <v>66</v>
      </c>
      <c r="V40" s="33"/>
      <c r="X40" s="33"/>
    </row>
    <row r="41" spans="2:26" x14ac:dyDescent="0.2">
      <c r="B41" s="22" t="s">
        <v>67</v>
      </c>
      <c r="C41" s="31">
        <f>C32*1000/1464100000</f>
        <v>7.5610180910859652E-3</v>
      </c>
      <c r="D41" s="31">
        <f>D32*1000/1464100000</f>
        <v>1.1236451004656702E-2</v>
      </c>
      <c r="E41" s="31">
        <f t="shared" ref="E41:G41" si="51">E32*1000/1464100000</f>
        <v>5.8303305085484298E-3</v>
      </c>
      <c r="F41" s="31">
        <f t="shared" ref="F41" si="52">F32*1000/1464100000</f>
        <v>8.716669567325832E-3</v>
      </c>
      <c r="G41" s="31">
        <f t="shared" si="51"/>
        <v>3.3344469171616931E-2</v>
      </c>
      <c r="H41" s="31">
        <f t="shared" ref="H41:J42" si="53">H32*1000/1464100000</f>
        <v>8.6467777389232711E-3</v>
      </c>
      <c r="I41" s="31">
        <f t="shared" si="53"/>
        <v>8.2930991506991389E-3</v>
      </c>
      <c r="J41" s="31">
        <f t="shared" si="53"/>
        <v>6.8683005087124801E-3</v>
      </c>
      <c r="K41" s="31">
        <f t="shared" ref="K41:L41" si="54">K32*1000/1464100000</f>
        <v>6.1361025328421376E-3</v>
      </c>
      <c r="L41" s="31">
        <f t="shared" si="54"/>
        <v>2.9944279931177029E-2</v>
      </c>
      <c r="M41" s="31">
        <f>M32*1000/1464100000</f>
        <v>4.5134383129812397E-3</v>
      </c>
      <c r="N41" s="31">
        <f>N32*1000/1464100000</f>
        <v>3.6273127725515763E-3</v>
      </c>
      <c r="O41" s="31">
        <f>O32*1000/1464100000</f>
        <v>1.8550557940544804E-3</v>
      </c>
      <c r="P41" s="31">
        <f>P32*1000/1464100000</f>
        <v>1.4297368109437806E-2</v>
      </c>
      <c r="Q41" s="31">
        <f t="shared" ref="Q41:R41" si="55">Q32*1000/1464100000</f>
        <v>2.4293174989025102E-2</v>
      </c>
      <c r="R41" s="31">
        <f t="shared" si="55"/>
        <v>8.7127844638760065E-3</v>
      </c>
      <c r="S41" s="31">
        <f t="shared" ref="S41:T41" si="56">S32*1000/1464100000</f>
        <v>5.8777592475052736E-4</v>
      </c>
      <c r="T41" s="31">
        <f t="shared" si="56"/>
        <v>5.0001156638556331E-3</v>
      </c>
      <c r="U41" s="31">
        <f t="shared" ref="U41:U42" si="57">T41-O41</f>
        <v>3.1450598698011525E-3</v>
      </c>
      <c r="V41" s="32">
        <f>U41/O41</f>
        <v>1.6953990709504161</v>
      </c>
      <c r="W41" s="45">
        <f>(R41+S41+T41)-(M41+N41+O41)</f>
        <v>4.3048691728948714E-3</v>
      </c>
      <c r="X41" s="32">
        <f>W41/(M41+N41+O41)</f>
        <v>0.43066750135859067</v>
      </c>
    </row>
    <row r="42" spans="2:26" x14ac:dyDescent="0.2">
      <c r="B42" s="22" t="s">
        <v>68</v>
      </c>
      <c r="C42" s="31">
        <f>C33*1000/1464100000</f>
        <v>9.9627051146073168E-4</v>
      </c>
      <c r="D42" s="31">
        <f>D33*1000/1464100000</f>
        <v>9.386181204671109E-4</v>
      </c>
      <c r="E42" s="31">
        <f t="shared" ref="E42:G42" si="58">E33*1000/1464100000</f>
        <v>6.7815949599431737E-3</v>
      </c>
      <c r="F42" s="31">
        <f t="shared" ref="F42" si="59">F33*1000/1464100000</f>
        <v>-1.1586270835169692E-4</v>
      </c>
      <c r="G42" s="31">
        <f t="shared" si="58"/>
        <v>8.6006208835193217E-3</v>
      </c>
      <c r="H42" s="31">
        <f t="shared" si="53"/>
        <v>1.502885199104085E-4</v>
      </c>
      <c r="I42" s="31">
        <f t="shared" si="53"/>
        <v>-4.4634172437212014E-6</v>
      </c>
      <c r="J42" s="31">
        <f t="shared" si="53"/>
        <v>5.0440979424770508E-4</v>
      </c>
      <c r="K42" s="31">
        <f t="shared" ref="K42:M42" si="60">K33*1000/1464100000</f>
        <v>1.619199142763889E-4</v>
      </c>
      <c r="L42" s="31">
        <f t="shared" si="60"/>
        <v>8.1215481119078137E-4</v>
      </c>
      <c r="M42" s="31">
        <f t="shared" si="60"/>
        <v>-6.6951163734527432E-5</v>
      </c>
      <c r="N42" s="31">
        <f t="shared" ref="N42" si="61">N33*1000/1464100000</f>
        <v>-1.0110968073304462E-4</v>
      </c>
      <c r="O42" s="31">
        <f>O33*1000/1464100000</f>
        <v>-6.2012508090230576E-5</v>
      </c>
      <c r="P42" s="31">
        <f>P33*1000/1464100000</f>
        <v>-1.7069055937328356E-5</v>
      </c>
      <c r="Q42" s="31">
        <f t="shared" ref="Q42:R42" si="62">Q33*1000/1464100000</f>
        <v>-2.47142408495131E-4</v>
      </c>
      <c r="R42" s="31">
        <f t="shared" si="62"/>
        <v>-5.2864150775688119E-5</v>
      </c>
      <c r="S42" s="31">
        <f t="shared" ref="S42:T42" si="63">S33*1000/1464100000</f>
        <v>-4.9721103302878777E-5</v>
      </c>
      <c r="T42" s="31">
        <f t="shared" si="63"/>
        <v>-3.7335720387390251E-5</v>
      </c>
      <c r="U42" s="31">
        <f t="shared" si="57"/>
        <v>2.4676787702840325E-5</v>
      </c>
      <c r="V42" s="32">
        <f>U42/O42</f>
        <v>-0.39793242464785739</v>
      </c>
      <c r="W42" s="45">
        <f>(R42+S42+T42)-(M42+N42+O42)</f>
        <v>9.0152378091845484E-5</v>
      </c>
      <c r="X42" s="32">
        <f>W42/(M42+N42+O42)</f>
        <v>-0.39184189342047332</v>
      </c>
    </row>
  </sheetData>
  <mergeCells count="2">
    <mergeCell ref="U5:V5"/>
    <mergeCell ref="W5:X5"/>
  </mergeCells>
  <pageMargins left="0.7" right="0.7" top="0.75" bottom="0.75" header="0.3" footer="0.3"/>
  <pageSetup orientation="portrait" horizontalDpi="1200" verticalDpi="1200" r:id="rId1"/>
  <ignoredErrors>
    <ignoredError sqref="G6 L6 Q6" numberStoredAsText="1"/>
    <ignoredError sqref="F10 K10 K21 K37 P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Q65"/>
  <sheetViews>
    <sheetView showGridLines="0" workbookViewId="0">
      <pane xSplit="2" ySplit="6" topLeftCell="C30" activePane="bottomRight" state="frozen"/>
      <selection pane="topRight" activeCell="B7" sqref="B7"/>
      <selection pane="bottomLeft" activeCell="B7" sqref="B7"/>
      <selection pane="bottomRight" activeCell="Q56" sqref="Q56"/>
    </sheetView>
  </sheetViews>
  <sheetFormatPr defaultColWidth="9.140625" defaultRowHeight="12.75" x14ac:dyDescent="0.2"/>
  <cols>
    <col min="1" max="1" width="5.7109375" style="20" customWidth="1"/>
    <col min="2" max="2" width="52.85546875" style="20" customWidth="1"/>
    <col min="3" max="17" width="9.85546875" style="20" bestFit="1" customWidth="1"/>
    <col min="18" max="16384" width="9.140625" style="20"/>
  </cols>
  <sheetData>
    <row r="1" spans="1:17" x14ac:dyDescent="0.2">
      <c r="A1" s="162">
        <f>'2024 IR Data Book'!$A$5</f>
        <v>0.27228666339922669</v>
      </c>
    </row>
    <row r="2" spans="1:17" ht="15.75" x14ac:dyDescent="0.25">
      <c r="B2" s="131" t="s">
        <v>74</v>
      </c>
    </row>
    <row r="5" spans="1:17" ht="15" x14ac:dyDescent="0.25">
      <c r="B5" s="21" t="s">
        <v>75</v>
      </c>
      <c r="C5" s="168" t="s">
        <v>76</v>
      </c>
      <c r="D5" s="168" t="s">
        <v>77</v>
      </c>
      <c r="E5" s="168" t="s">
        <v>78</v>
      </c>
      <c r="F5" s="168" t="s">
        <v>79</v>
      </c>
      <c r="G5" s="168" t="s">
        <v>80</v>
      </c>
      <c r="H5" s="168" t="s">
        <v>81</v>
      </c>
      <c r="I5" s="168" t="s">
        <v>82</v>
      </c>
      <c r="J5" s="168" t="s">
        <v>83</v>
      </c>
      <c r="K5" s="168" t="s">
        <v>84</v>
      </c>
      <c r="L5" s="168" t="s">
        <v>85</v>
      </c>
      <c r="M5" s="168" t="s">
        <v>86</v>
      </c>
      <c r="N5" s="168" t="s">
        <v>87</v>
      </c>
      <c r="O5" s="168" t="s">
        <v>88</v>
      </c>
      <c r="P5" s="168" t="s">
        <v>333</v>
      </c>
      <c r="Q5" s="168" t="s">
        <v>345</v>
      </c>
    </row>
    <row r="6" spans="1:17" ht="15" x14ac:dyDescent="0.25">
      <c r="B6" s="21" t="s">
        <v>89</v>
      </c>
    </row>
    <row r="7" spans="1:17" x14ac:dyDescent="0.2">
      <c r="B7" s="20" t="s">
        <v>90</v>
      </c>
      <c r="C7" s="28">
        <f>957925*('2024 IR Data Book'!$A$5)</f>
        <v>260830.20203670423</v>
      </c>
      <c r="D7" s="28">
        <f>963437*('2024 IR Data Book'!$A$5)</f>
        <v>262331.04612536076</v>
      </c>
      <c r="E7" s="28">
        <f>980472*('2024 IR Data Book'!$A$5)</f>
        <v>266969.44943636662</v>
      </c>
      <c r="F7" s="28">
        <f>941430*('2024 IR Data Book'!$A$5)</f>
        <v>256338.83352393398</v>
      </c>
      <c r="G7" s="28">
        <f>918236*('2024 IR Data Book'!$A$5)</f>
        <v>250023.41665305232</v>
      </c>
      <c r="H7" s="28">
        <f>894104.544664551*('2024 IR Data Book'!$A$5)</f>
        <v>243452.74319679546</v>
      </c>
      <c r="I7" s="28">
        <f>866980.218712385*(('2024 IR Data Book'!$A$5))</f>
        <v>236067.15098632712</v>
      </c>
      <c r="J7" s="28">
        <f>883697*(('2024 IR Data Book'!$A$5))</f>
        <v>240618.90758590642</v>
      </c>
      <c r="K7" s="28">
        <f>864981*(('2024 IR Data Book'!$A$5))</f>
        <v>235522.79039372649</v>
      </c>
      <c r="L7" s="28">
        <f>878750.869404297*((('2024 IR Data Book'!$A$5)))</f>
        <v>239272.14218926564</v>
      </c>
      <c r="M7" s="28">
        <f>869050.485432705*((('2024 IR Data Book'!$A$5)))</f>
        <v>236630.85700394952</v>
      </c>
      <c r="N7" s="28">
        <f>'[7]B.S PJSC'!$C$10*((('2024 IR Data Book'!$A$5)))</f>
        <v>239923.24850454819</v>
      </c>
      <c r="O7" s="28">
        <f>'[8]B.S PJSC'!$C$10*((('2024 IR Data Book'!$A$5)))</f>
        <v>232727.93323900987</v>
      </c>
      <c r="P7" s="28">
        <f>'[9]B.S PJSC'!$C$10*((('2024 IR Data Book'!$A$5)))</f>
        <v>232474.84791281071</v>
      </c>
      <c r="Q7" s="28">
        <f>'[10]B.S PJSC'!$C$10*((('2024 IR Data Book'!$A$5)))</f>
        <v>232203.79474019053</v>
      </c>
    </row>
    <row r="8" spans="1:17" x14ac:dyDescent="0.2">
      <c r="B8" s="20" t="s">
        <v>91</v>
      </c>
      <c r="C8" s="28">
        <f>862334*('2024 IR Data Book'!$A$5)</f>
        <v>234802.04759570875</v>
      </c>
      <c r="D8" s="28">
        <f>910988*('2024 IR Data Book'!$A$5)</f>
        <v>248049.88291673473</v>
      </c>
      <c r="E8" s="28">
        <f>956865*('2024 IR Data Book'!$A$5)</f>
        <v>260541.57817350104</v>
      </c>
      <c r="F8" s="28">
        <f>894266*('2024 IR Data Book'!$A$5)</f>
        <v>243496.70533137285</v>
      </c>
      <c r="G8" s="28">
        <f>890902*('2024 IR Data Book'!$A$5)</f>
        <v>242580.73299569785</v>
      </c>
      <c r="H8" s="28">
        <f>921554.993062863*('2024 IR Data Book'!$A$5)</f>
        <v>250927.13419998446</v>
      </c>
      <c r="I8" s="28">
        <f>894136.917651471*(('2024 IR Data Book'!$A$5))</f>
        <v>243461.55792938816</v>
      </c>
      <c r="J8" s="28">
        <f>860524*(('2024 IR Data Book'!$A$5))</f>
        <v>234309.20873495616</v>
      </c>
      <c r="K8" s="28">
        <f>907905*(('2024 IR Data Book'!$A$5))</f>
        <v>247210.42313347492</v>
      </c>
      <c r="L8" s="28">
        <f>880398.691638888*((('2024 IR Data Book'!$A$5)))</f>
        <v>239720.82220739746</v>
      </c>
      <c r="M8" s="28">
        <f>845349.934785601*((('2024 IR Data Book'!$A$5)))</f>
        <v>230177.51314752517</v>
      </c>
      <c r="N8" s="28">
        <f>'[7]B.S PJSC'!$C$11*((('2024 IR Data Book'!$A$5)))</f>
        <v>235250.71927421031</v>
      </c>
      <c r="O8" s="28">
        <f>'[8]B.S PJSC'!$C$11*((('2024 IR Data Book'!$A$5)))</f>
        <v>229227.69134670807</v>
      </c>
      <c r="P8" s="28">
        <f>'[9]B.S PJSC'!$C$11*((('2024 IR Data Book'!$A$5)))</f>
        <v>226636.26318988847</v>
      </c>
      <c r="Q8" s="28">
        <f>'[10]B.S PJSC'!$C$11*((('2024 IR Data Book'!$A$5)))</f>
        <v>228893.43308892468</v>
      </c>
    </row>
    <row r="9" spans="1:17" x14ac:dyDescent="0.2">
      <c r="B9" s="20" t="s">
        <v>92</v>
      </c>
      <c r="C9" s="28">
        <f>1135511*('2024 IR Data Book'!$A$5)</f>
        <v>309184.50144311931</v>
      </c>
      <c r="D9" s="28">
        <f>1140170*('2024 IR Data Book'!$A$5)</f>
        <v>310453.0850078963</v>
      </c>
      <c r="E9" s="28">
        <f>1031265*('2024 IR Data Book'!$A$5)</f>
        <v>280799.70593040349</v>
      </c>
      <c r="F9" s="28">
        <f>1002568*('2024 IR Data Book'!$A$5)</f>
        <v>272985.89555083588</v>
      </c>
      <c r="G9" s="28">
        <f>1002568*('2024 IR Data Book'!$A$5)</f>
        <v>272985.89555083588</v>
      </c>
      <c r="H9" s="28">
        <f>1002568.07593687*('2024 IR Data Book'!$A$5)</f>
        <v>272985.91622743284</v>
      </c>
      <c r="I9" s="28">
        <f>1002568.07589721*(('2024 IR Data Book'!$A$5))</f>
        <v>272985.91621663398</v>
      </c>
      <c r="J9" s="28">
        <f>1757680*(('2024 IR Data Book'!$A$5))</f>
        <v>478592.82252355275</v>
      </c>
      <c r="K9" s="28">
        <f>1757680*(('2024 IR Data Book'!$A$5))</f>
        <v>478592.82252355275</v>
      </c>
      <c r="L9" s="28">
        <f>1757680.00004428*((('2024 IR Data Book'!$A$5)))</f>
        <v>478592.82253560959</v>
      </c>
      <c r="M9" s="28">
        <f>1756731.00422396*((('2024 IR Data Book'!$A$5)))</f>
        <v>478334.42363011488</v>
      </c>
      <c r="N9" s="28">
        <f>'[7]B.S PJSC'!$C$12*((('2024 IR Data Book'!$A$5)))</f>
        <v>476553.58693155041</v>
      </c>
      <c r="O9" s="28">
        <f>'[8]B.S PJSC'!$C$12*((('2024 IR Data Book'!$A$5)))</f>
        <v>482329.0894025531</v>
      </c>
      <c r="P9" s="28">
        <f>'[9]B.S PJSC'!$C$12*((('2024 IR Data Book'!$A$5)))</f>
        <v>482329.08941029425</v>
      </c>
      <c r="Q9" s="28">
        <f>'[10]B.S PJSC'!$C$12*((('2024 IR Data Book'!$A$5)))</f>
        <v>482329.08936255745</v>
      </c>
    </row>
    <row r="10" spans="1:17" x14ac:dyDescent="0.2">
      <c r="B10" s="20" t="s">
        <v>93</v>
      </c>
      <c r="C10" s="28">
        <f>214565*('2024 IR Data Book'!$A$5)</f>
        <v>58423.187932255074</v>
      </c>
      <c r="D10" s="28">
        <f>212727*('2024 IR Data Book'!$A$5)</f>
        <v>57922.725044927298</v>
      </c>
      <c r="E10" s="28">
        <f>212034*('2024 IR Data Book'!$A$5)</f>
        <v>57734.030387191633</v>
      </c>
      <c r="F10" s="28">
        <f>201255*('2024 IR Data Book'!$A$5)</f>
        <v>54799.052442411368</v>
      </c>
      <c r="G10" s="28">
        <f>200563*('2024 IR Data Book'!$A$5)</f>
        <v>54610.630071339103</v>
      </c>
      <c r="H10" s="28">
        <f>199872.416294696*('2024 IR Data Book'!$A$5)</f>
        <v>54422.593338424005</v>
      </c>
      <c r="I10" s="28">
        <f>199184.256569187*(('2024 IR Data Book'!$A$5))</f>
        <v>54235.21662287943</v>
      </c>
      <c r="J10" s="28">
        <f>324362*(('2024 IR Data Book'!$A$5))</f>
        <v>88319.446713499972</v>
      </c>
      <c r="K10" s="28">
        <f>320964*(('2024 IR Data Book'!$A$5))</f>
        <v>87394.216631269403</v>
      </c>
      <c r="L10" s="28">
        <f>317576.786571321*((('2024 IR Data Book'!$A$5)))</f>
        <v>86471.923588553342</v>
      </c>
      <c r="M10" s="28">
        <f>314191.995845834*((('2024 IR Data Book'!$A$5)))</f>
        <v>85550.290215605841</v>
      </c>
      <c r="N10" s="28">
        <f>'[7]B.S PJSC'!$C$13*((('2024 IR Data Book'!$A$5)))</f>
        <v>84391.173529381631</v>
      </c>
      <c r="O10" s="28">
        <f>'[8]B.S PJSC'!$C$13*((('2024 IR Data Book'!$A$5)))</f>
        <v>85396.219162481808</v>
      </c>
      <c r="P10" s="28">
        <f>'[9]B.S PJSC'!$C$13*((('2024 IR Data Book'!$A$5)))</f>
        <v>84432.429626429992</v>
      </c>
      <c r="Q10" s="28">
        <f>'[10]B.S PJSC'!$C$13*((('2024 IR Data Book'!$A$5)))</f>
        <v>83468.592676380315</v>
      </c>
    </row>
    <row r="11" spans="1:17" x14ac:dyDescent="0.2">
      <c r="B11" s="20" t="s">
        <v>94</v>
      </c>
      <c r="C11" s="28">
        <f>37815*('2024 IR Data Book'!$A$5)</f>
        <v>10296.520176441758</v>
      </c>
      <c r="D11" s="28">
        <f>42848*('2024 IR Data Book'!$A$5)</f>
        <v>11666.938953330065</v>
      </c>
      <c r="E11" s="28">
        <f>35984*('2024 IR Data Book'!$A$5)</f>
        <v>9797.9632957577742</v>
      </c>
      <c r="F11" s="28">
        <f>37448.2731596125*('2024 IR Data Book'!$A$5)</f>
        <v>10196.665348693705</v>
      </c>
      <c r="G11" s="28">
        <f>40904*('2024 IR Data Book'!$A$5)</f>
        <v>11137.613679681968</v>
      </c>
      <c r="H11" s="28">
        <f>34374.6759942848*('2024 IR Data Book'!$A$5)</f>
        <v>9359.7658319133043</v>
      </c>
      <c r="I11" s="28">
        <f>33022.3487900181*(('2024 IR Data Book'!$A$5))</f>
        <v>8991.5451696395194</v>
      </c>
      <c r="J11" s="28">
        <f>24961*(('2024 IR Data Book'!$A$5))</f>
        <v>6796.5474051080973</v>
      </c>
      <c r="K11" s="28">
        <f>25531*(('2024 IR Data Book'!$A$5))</f>
        <v>6951.7508032456562</v>
      </c>
      <c r="L11" s="28">
        <f>36927.6476736312*((('2024 IR Data Book'!$A$5)))</f>
        <v>10054.905972235256</v>
      </c>
      <c r="M11" s="28">
        <f>38561.8412386319*((('2024 IR Data Book'!$A$5)))</f>
        <v>10499.875085397784</v>
      </c>
      <c r="N11" s="28">
        <f>'[7]B.S PJSC'!$C$14*((('2024 IR Data Book'!$A$5)))</f>
        <v>9531.8529545150395</v>
      </c>
      <c r="O11" s="28">
        <f>'[8]B.S PJSC'!$C$14*((('2024 IR Data Book'!$A$5)))</f>
        <v>9544.9751178609076</v>
      </c>
      <c r="P11" s="28">
        <f>'[9]B.S PJSC'!$C$14*((('2024 IR Data Book'!$A$5)))</f>
        <v>9560.8371426359627</v>
      </c>
      <c r="Q11" s="28">
        <f>'[10]B.S PJSC'!$C$14*((('2024 IR Data Book'!$A$5)))</f>
        <v>9667.8054913668802</v>
      </c>
    </row>
    <row r="12" spans="1:17" ht="25.5" x14ac:dyDescent="0.2">
      <c r="B12" s="41" t="s">
        <v>95</v>
      </c>
      <c r="C12" s="28">
        <f>23546*('2024 IR Data Book'!$A$5)</f>
        <v>6411.2617763981916</v>
      </c>
      <c r="D12" s="28">
        <f>23522*('2024 IR Data Book'!$A$5)</f>
        <v>6404.7268964766099</v>
      </c>
      <c r="E12" s="28">
        <f>17244*('2024 IR Data Book'!$A$5)</f>
        <v>4695.3112236562647</v>
      </c>
      <c r="F12" s="28">
        <f>17638*('2024 IR Data Book'!$A$5)</f>
        <v>4802.5921690355608</v>
      </c>
      <c r="G12" s="28">
        <f>17772*('2024 IR Data Book'!$A$5)</f>
        <v>4839.0785819310568</v>
      </c>
      <c r="H12" s="28">
        <f>17613.6880596444*('2024 IR Data Book'!$A$5)</f>
        <v>4795.9723519153731</v>
      </c>
      <c r="I12" s="28">
        <f>17566.1948018073*(('2024 IR Data Book'!$A$5))</f>
        <v>4783.0405712049505</v>
      </c>
      <c r="J12" s="28">
        <f>17667*(('2024 IR Data Book'!$A$5))</f>
        <v>4810.4884822741378</v>
      </c>
      <c r="K12" s="28">
        <f>17659*(('2024 IR Data Book'!$A$5))</f>
        <v>4808.3101889669442</v>
      </c>
      <c r="L12" s="28">
        <f>17647.0119707624*((('2024 IR Data Book'!$A$5)))</f>
        <v>4805.0460084851056</v>
      </c>
      <c r="M12" s="28">
        <f>17556.1799535027*((('2024 IR Data Book'!$A$5)))</f>
        <v>4780.3136615756403</v>
      </c>
      <c r="N12" s="28">
        <f>'[7]B.S PJSC'!$C$15*((('2024 IR Data Book'!$A$5)))</f>
        <v>4785.2182228940137</v>
      </c>
      <c r="O12" s="28">
        <f>'[8]B.S PJSC'!$C$15*((('2024 IR Data Book'!$A$5)))</f>
        <v>4833.0501091673423</v>
      </c>
      <c r="P12" s="28">
        <f>'[9]B.S PJSC'!$C$15*((('2024 IR Data Book'!$A$5)))</f>
        <v>4873.2635993316253</v>
      </c>
      <c r="Q12" s="28">
        <f>'[10]B.S PJSC'!$C$15*((('2024 IR Data Book'!$A$5)))</f>
        <v>4903.3398766559185</v>
      </c>
    </row>
    <row r="13" spans="1:17" x14ac:dyDescent="0.2">
      <c r="B13" s="41" t="s">
        <v>96</v>
      </c>
      <c r="C13" s="28">
        <f>7588*('2024 IR Data Book'!$A$5)</f>
        <v>2066.111201873332</v>
      </c>
      <c r="D13" s="28">
        <f>7601*('2024 IR Data Book'!$A$5)</f>
        <v>2069.6509284975223</v>
      </c>
      <c r="E13" s="28">
        <f>7275*('2024 IR Data Book'!$A$5)</f>
        <v>1980.8854762293743</v>
      </c>
      <c r="F13" s="28">
        <f>8006*('2024 IR Data Book'!$A$5)</f>
        <v>2179.9270271742089</v>
      </c>
      <c r="G13" s="28">
        <f>7971*('2024 IR Data Book'!$A$5)</f>
        <v>2170.3969939552358</v>
      </c>
      <c r="H13" s="28">
        <f>21150.4841613572*('2024 IR Data Book'!$A$5)</f>
        <v>5758.994761574143</v>
      </c>
      <c r="I13" s="28">
        <f>21022.0845693825*(('2024 IR Data Book'!$A$5))</f>
        <v>5724.0332650935297</v>
      </c>
      <c r="J13" s="28">
        <f>28135*(('2024 IR Data Book'!$A$5))</f>
        <v>7660.7852747372426</v>
      </c>
      <c r="K13" s="28">
        <f>27859*(('2024 IR Data Book'!$A$5))</f>
        <v>7585.6341556390562</v>
      </c>
      <c r="L13" s="28">
        <f>26361.7873087616*((('2024 IR Data Book'!$A$5)))</f>
        <v>7177.963107542776</v>
      </c>
      <c r="M13" s="28">
        <f>24237.1408733341*((('2024 IR Data Book'!$A$5)))</f>
        <v>6599.4502187371618</v>
      </c>
      <c r="N13" s="28">
        <f>'[7]B.S PJSC'!$C$16*((('2024 IR Data Book'!$A$5)))</f>
        <v>7109.2957344636434</v>
      </c>
      <c r="O13" s="28">
        <f>'[8]B.S PJSC'!$C$16*((('2024 IR Data Book'!$A$5)))</f>
        <v>7845.9284121332748</v>
      </c>
      <c r="P13" s="28">
        <f>'[9]B.S PJSC'!$C$16*((('2024 IR Data Book'!$A$5)))</f>
        <v>8280.2761015817978</v>
      </c>
      <c r="Q13" s="28">
        <f>'[10]B.S PJSC'!$C$16*((('2024 IR Data Book'!$A$5)))</f>
        <v>8900.7646765602694</v>
      </c>
    </row>
    <row r="14" spans="1:17" x14ac:dyDescent="0.2">
      <c r="B14" s="20" t="s">
        <v>97</v>
      </c>
      <c r="C14" s="28">
        <f>4572*('2024 IR Data Book'!$A$5)</f>
        <v>1244.8946250612644</v>
      </c>
      <c r="D14" s="28">
        <f>3834*('2024 IR Data Book'!$A$5)</f>
        <v>1043.9470674726351</v>
      </c>
      <c r="E14" s="28">
        <f>3700*('2024 IR Data Book'!$A$5)</f>
        <v>1007.4606545771387</v>
      </c>
      <c r="F14" s="28">
        <f>4115*('2024 IR Data Book'!$A$5)</f>
        <v>1120.4596198878178</v>
      </c>
      <c r="G14" s="28">
        <f>4099*('2024 IR Data Book'!$A$5)</f>
        <v>1116.1030332734301</v>
      </c>
      <c r="H14" s="28">
        <f>3531.41643549816*('2024 IR Data Book'!$A$5)</f>
        <v>961.55759829498436</v>
      </c>
      <c r="I14" s="28">
        <f>3394.74308190623*(('2024 IR Data Book'!$A$5))</f>
        <v>924.34326686985514</v>
      </c>
      <c r="J14" s="28">
        <f>5912*(('2024 IR Data Book'!$A$5))</f>
        <v>1609.7587540162283</v>
      </c>
      <c r="K14" s="28">
        <f>5536*(('2024 IR Data Book'!$A$5))</f>
        <v>1507.3789685781189</v>
      </c>
      <c r="L14" s="28">
        <f>5808.94293753516*((('2024 IR Data Book'!$A$5)))</f>
        <v>1581.6976903379514</v>
      </c>
      <c r="M14" s="28">
        <f>6797.86432861108*((('2024 IR Data Book'!$A$5)))</f>
        <v>1850.9677962781352</v>
      </c>
      <c r="N14" s="28">
        <f>'[7]B.S PJSC'!$C$17*((('2024 IR Data Book'!$A$5)))</f>
        <v>1911.1842191841429</v>
      </c>
      <c r="O14" s="28">
        <f>'[8]B.S PJSC'!$C$17*((('2024 IR Data Book'!$A$5)))</f>
        <v>2948.6942904733364</v>
      </c>
      <c r="P14" s="28">
        <f>'[9]B.S PJSC'!$C$17*((('2024 IR Data Book'!$A$5)))</f>
        <v>2868.6450162154115</v>
      </c>
      <c r="Q14" s="28">
        <f>'[10]B.S PJSC'!$C$17*((('2024 IR Data Book'!$A$5)))</f>
        <v>5010.2842905833095</v>
      </c>
    </row>
    <row r="15" spans="1:17" ht="15.75" thickBot="1" x14ac:dyDescent="0.3">
      <c r="C15" s="42">
        <f t="shared" ref="C15:E15" si="0">SUM(C7:C14)</f>
        <v>883258.7267875619</v>
      </c>
      <c r="D15" s="42">
        <f t="shared" si="0"/>
        <v>899942.00294069585</v>
      </c>
      <c r="E15" s="42">
        <f t="shared" si="0"/>
        <v>883526.38457768341</v>
      </c>
      <c r="F15" s="42">
        <f t="shared" ref="F15:K15" si="1">SUM(F7:F14)</f>
        <v>845920.13101334544</v>
      </c>
      <c r="G15" s="42">
        <f t="shared" si="1"/>
        <v>839463.86755976698</v>
      </c>
      <c r="H15" s="42">
        <f t="shared" si="1"/>
        <v>842664.67750633461</v>
      </c>
      <c r="I15" s="42">
        <f t="shared" si="1"/>
        <v>827172.80402803665</v>
      </c>
      <c r="J15" s="42">
        <f t="shared" si="1"/>
        <v>1062717.965474051</v>
      </c>
      <c r="K15" s="42">
        <f t="shared" si="1"/>
        <v>1069573.3267984532</v>
      </c>
      <c r="L15" s="42">
        <f t="shared" ref="L15:M15" si="2">SUM(L7:L14)</f>
        <v>1067677.3232994273</v>
      </c>
      <c r="M15" s="42">
        <f t="shared" si="2"/>
        <v>1054423.6907591843</v>
      </c>
      <c r="N15" s="42">
        <f t="shared" ref="N15:O15" si="3">SUM(N7:N14)</f>
        <v>1059456.2793707475</v>
      </c>
      <c r="O15" s="42">
        <f t="shared" si="3"/>
        <v>1054853.5810803878</v>
      </c>
      <c r="P15" s="42">
        <f t="shared" ref="P15:Q15" si="4">SUM(P7:P14)</f>
        <v>1051455.6519991884</v>
      </c>
      <c r="Q15" s="42">
        <f t="shared" si="4"/>
        <v>1055377.1042032195</v>
      </c>
    </row>
    <row r="16" spans="1:17" ht="15" x14ac:dyDescent="0.25">
      <c r="B16" s="21" t="s">
        <v>98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x14ac:dyDescent="0.2">
      <c r="B17" s="20" t="s">
        <v>99</v>
      </c>
      <c r="C17" s="28">
        <f>1072585*('2024 IR Data Book'!$A$5)</f>
        <v>292050.59086205956</v>
      </c>
      <c r="D17" s="28">
        <f>1142044*('2024 IR Data Book'!$A$5)</f>
        <v>310963.35021510645</v>
      </c>
      <c r="E17" s="28">
        <f>1076168*('2024 IR Data Book'!$A$5)</f>
        <v>293026.19397701899</v>
      </c>
      <c r="F17" s="28">
        <f>1219422*('2024 IR Data Book'!$A$5)</f>
        <v>332032.34765561181</v>
      </c>
      <c r="G17" s="28">
        <f>1164185*('2024 IR Data Book'!$A$5)</f>
        <v>316992.04922942875</v>
      </c>
      <c r="H17" s="28">
        <f>1144011.21590874*('2024 IR Data Book'!$A$5)</f>
        <v>311498.9968710831</v>
      </c>
      <c r="I17" s="28">
        <f>1095736.37086374*(('2024 IR Data Book'!$A$5))</f>
        <v>298354.40038766543</v>
      </c>
      <c r="J17" s="28">
        <f>1130410*(('2024 IR Data Book'!$A$5))</f>
        <v>307795.56717311987</v>
      </c>
      <c r="K17" s="28">
        <f>1113713*(('2024 IR Data Book'!$A$5))</f>
        <v>303249.19675434293</v>
      </c>
      <c r="L17" s="28">
        <f>1085002.77513823*((('2024 IR Data Book'!$A$5)))</f>
        <v>295431.78542129009</v>
      </c>
      <c r="M17" s="28">
        <f>979894.296685645*((('2024 IR Data Book'!$A$5)))</f>
        <v>266812.14852846618</v>
      </c>
      <c r="N17" s="28">
        <f>'[7]B.S PJSC'!$C$21*((('2024 IR Data Book'!$A$5)))</f>
        <v>296919.85908327828</v>
      </c>
      <c r="O17" s="28">
        <f>'[8]B.S PJSC'!$C$21*((('2024 IR Data Book'!$A$5)))</f>
        <v>289697.62073397735</v>
      </c>
      <c r="P17" s="28">
        <f>'[9]B.S PJSC'!$C$21*((('2024 IR Data Book'!$A$5)))</f>
        <v>277206.50415067869</v>
      </c>
      <c r="Q17" s="28">
        <f>'[10]B.S PJSC'!$C$21*((('2024 IR Data Book'!$A$5)))</f>
        <v>285270.62414161063</v>
      </c>
    </row>
    <row r="18" spans="2:17" x14ac:dyDescent="0.2">
      <c r="B18" s="20" t="s">
        <v>335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'[9]B.S PJSC'!$C$22*((('2024 IR Data Book'!$A$5)))</f>
        <v>786.74118447923763</v>
      </c>
      <c r="Q18" s="28">
        <f>'[10]B.S PJSC'!$C$22*((('2024 IR Data Book'!$A$5)))</f>
        <v>778.35588835942769</v>
      </c>
    </row>
    <row r="19" spans="2:17" x14ac:dyDescent="0.2">
      <c r="B19" s="20" t="s">
        <v>100</v>
      </c>
      <c r="C19" s="28">
        <f>296178*('2024 IR Data Book'!$A$5)</f>
        <v>80645.319392256162</v>
      </c>
      <c r="D19" s="28">
        <f>305444*('2024 IR Data Book'!$A$5)</f>
        <v>83168.327615313392</v>
      </c>
      <c r="E19" s="28">
        <f>353365*('2024 IR Data Book'!$A$5)</f>
        <v>96216.576812067739</v>
      </c>
      <c r="F19" s="28">
        <f>293709*('2024 IR Data Book'!$A$5)</f>
        <v>79973.043620323471</v>
      </c>
      <c r="G19" s="28">
        <f>310784*('2024 IR Data Book'!$A$5)</f>
        <v>84622.338397865271</v>
      </c>
      <c r="H19" s="28">
        <f>312682.133407311*('2024 IR Data Book'!$A$5)</f>
        <v>85139.174810028577</v>
      </c>
      <c r="I19" s="28">
        <f>270662.67988231*(('2024 IR Data Book'!$A$5))</f>
        <v>73697.838011847183</v>
      </c>
      <c r="J19" s="28">
        <f>284150*(('2024 IR Data Book'!$A$5))</f>
        <v>77370.255404890268</v>
      </c>
      <c r="K19" s="28">
        <f>271031*(('2024 IR Data Book'!$A$5))</f>
        <v>73798.126667755816</v>
      </c>
      <c r="L19" s="28">
        <f>267830.967387719*((('2024 IR Data Book'!$A$5)))</f>
        <v>72926.800464989108</v>
      </c>
      <c r="M19" s="28">
        <f>248574.158696011*((('2024 IR Data Book'!$A$5)))</f>
        <v>67683.428278606705</v>
      </c>
      <c r="N19" s="28">
        <f>'[7]B.S PJSC'!$C$22*((('2024 IR Data Book'!$A$5)))</f>
        <v>72510.941829555755</v>
      </c>
      <c r="O19" s="28">
        <f>'[8]B.S PJSC'!$C$22*((('2024 IR Data Book'!$A$5)))</f>
        <v>78344.410796431024</v>
      </c>
      <c r="P19" s="28">
        <f>'[9]B.S PJSC'!$C$23*((('2024 IR Data Book'!$A$5)))</f>
        <v>83862.860012422752</v>
      </c>
      <c r="Q19" s="28">
        <f>'[10]B.S PJSC'!$C$23*((('2024 IR Data Book'!$A$5)))</f>
        <v>88927.97351435828</v>
      </c>
    </row>
    <row r="20" spans="2:17" x14ac:dyDescent="0.2">
      <c r="B20" s="20" t="s">
        <v>101</v>
      </c>
      <c r="C20" s="28">
        <f>251949*('2024 IR Data Book'!$A$5)</f>
        <v>68602.352556771759</v>
      </c>
      <c r="D20" s="28">
        <f>61854*('2024 IR Data Book'!$A$5)</f>
        <v>16842.019277895768</v>
      </c>
      <c r="E20" s="28">
        <f>372533*('2024 IR Data Book'!$A$5)</f>
        <v>101435.76757610412</v>
      </c>
      <c r="F20" s="28">
        <f>57641*('2024 IR Data Book'!$A$5)</f>
        <v>15694.875564994825</v>
      </c>
      <c r="G20" s="28">
        <f>57972*('2024 IR Data Book'!$A$5)</f>
        <v>15785.00245057997</v>
      </c>
      <c r="H20" s="28">
        <f>10502.4383133088*('2024 IR Data Book'!$A$5)</f>
        <v>2859.6738858870553</v>
      </c>
      <c r="I20" s="28">
        <f>10683.5332031424*(('2024 IR Data Book'!$A$5))</f>
        <v>2908.9836091984971</v>
      </c>
      <c r="J20" s="28">
        <f>9488*(('2024 IR Data Book'!$A$5))</f>
        <v>2583.455862331863</v>
      </c>
      <c r="K20" s="28">
        <f>9612*(('2024 IR Data Book'!$A$5))</f>
        <v>2617.219408593367</v>
      </c>
      <c r="L20" s="28">
        <f>9494.27456452583*((('2024 IR Data Book'!$A$5)))</f>
        <v>2585.1643425708839</v>
      </c>
      <c r="M20" s="28">
        <f>7657.8972839579*((('2024 IR Data Book'!$A$5)))</f>
        <v>2085.1433001028972</v>
      </c>
      <c r="N20" s="28">
        <f>'[7]B.S PJSC'!$C$23*((('2024 IR Data Book'!$A$5)))</f>
        <v>2184.0246817974535</v>
      </c>
      <c r="O20" s="28">
        <f>'[8]B.S PJSC'!$C$23*((('2024 IR Data Book'!$A$5)))</f>
        <v>2103.7942922495431</v>
      </c>
      <c r="P20" s="28">
        <f>'[9]B.S PJSC'!$C$24*((('2024 IR Data Book'!$A$5)))</f>
        <v>2121.3027546991107</v>
      </c>
      <c r="Q20" s="28">
        <f>'[10]B.S PJSC'!$C$24*((('2024 IR Data Book'!$A$5)))</f>
        <v>1728.8220738822611</v>
      </c>
    </row>
    <row r="21" spans="2:17" x14ac:dyDescent="0.2">
      <c r="B21" s="20" t="s">
        <v>102</v>
      </c>
      <c r="C21" s="28">
        <f>798722*('2024 IR Data Book'!$A$5)</f>
        <v>217481.34836355713</v>
      </c>
      <c r="D21" s="28">
        <f>842966*('2024 IR Data Book'!$A$5)</f>
        <v>229528.39949899254</v>
      </c>
      <c r="E21" s="28">
        <f>778329*('2024 IR Data Book'!$A$5)</f>
        <v>211928.6064368567</v>
      </c>
      <c r="F21" s="28">
        <f>711800*('2024 IR Data Book'!$A$5)</f>
        <v>193813.64700756955</v>
      </c>
      <c r="G21" s="28">
        <f>704333*('2024 IR Data Book'!$A$5)</f>
        <v>191780.48249196753</v>
      </c>
      <c r="H21" s="28">
        <f>581871.5*('2024 IR Data Book'!$A$5)</f>
        <v>158435.84926210315</v>
      </c>
      <c r="I21" s="28">
        <f>624511.215208246*(('2024 IR Data Book'!$A$5))</f>
        <v>170046.07504444971</v>
      </c>
      <c r="J21" s="28">
        <f>758954*(('2024 IR Data Book'!$A$5))</f>
        <v>206653.05233349669</v>
      </c>
      <c r="K21" s="28">
        <f>712247*(('2024 IR Data Book'!$A$5))</f>
        <v>193935.35914610903</v>
      </c>
      <c r="L21" s="28">
        <f>492266.198975992*((('2024 IR Data Book'!$A$5)))</f>
        <v>134037.52082339267</v>
      </c>
      <c r="M21" s="28">
        <f>596168.960787367*((('2024 IR Data Book'!$A$5)))</f>
        <v>162328.85715497658</v>
      </c>
      <c r="N21" s="28">
        <f>'[7]B.S PJSC'!$C$24*((('2024 IR Data Book'!$A$5)))</f>
        <v>154438.06660087133</v>
      </c>
      <c r="O21" s="28">
        <f>'[8]B.S PJSC'!$C$24*((('2024 IR Data Book'!$A$5)))</f>
        <v>153436.00594708594</v>
      </c>
      <c r="P21" s="28">
        <f>'[9]B.S PJSC'!$C$25*((('2024 IR Data Book'!$A$5)))</f>
        <v>122233.28746970839</v>
      </c>
      <c r="Q21" s="28">
        <f>'[10]B.S PJSC'!$C$25*((('2024 IR Data Book'!$A$5)))</f>
        <v>120107.19595375405</v>
      </c>
    </row>
    <row r="22" spans="2:17" ht="15.75" thickBot="1" x14ac:dyDescent="0.3">
      <c r="C22" s="42">
        <f t="shared" ref="C22:E22" si="5">SUM(C17:C21)</f>
        <v>658779.61117464467</v>
      </c>
      <c r="D22" s="42">
        <f t="shared" si="5"/>
        <v>640502.09660730814</v>
      </c>
      <c r="E22" s="42">
        <f t="shared" si="5"/>
        <v>702607.14480204752</v>
      </c>
      <c r="F22" s="42">
        <f t="shared" ref="F22:K22" si="6">SUM(F17:F21)</f>
        <v>621513.91384849965</v>
      </c>
      <c r="G22" s="42">
        <f t="shared" si="6"/>
        <v>609179.87256984157</v>
      </c>
      <c r="H22" s="42">
        <f t="shared" si="6"/>
        <v>557933.69482910191</v>
      </c>
      <c r="I22" s="42">
        <f t="shared" si="6"/>
        <v>545007.29705316084</v>
      </c>
      <c r="J22" s="42">
        <f t="shared" si="6"/>
        <v>594402.33077383868</v>
      </c>
      <c r="K22" s="42">
        <f t="shared" si="6"/>
        <v>573599.90197680122</v>
      </c>
      <c r="L22" s="42">
        <f t="shared" ref="L22:M22" si="7">SUM(L17:L21)</f>
        <v>504981.27105224272</v>
      </c>
      <c r="M22" s="42">
        <f t="shared" si="7"/>
        <v>498909.57726215234</v>
      </c>
      <c r="N22" s="42">
        <f t="shared" ref="N22:O22" si="8">SUM(N17:N21)</f>
        <v>526052.89219550276</v>
      </c>
      <c r="O22" s="42">
        <f t="shared" si="8"/>
        <v>523581.83176974382</v>
      </c>
      <c r="P22" s="42">
        <f t="shared" ref="P22:Q22" si="9">SUM(P17:P21)</f>
        <v>486210.69557198824</v>
      </c>
      <c r="Q22" s="42">
        <f t="shared" si="9"/>
        <v>496812.97157196468</v>
      </c>
    </row>
    <row r="23" spans="2:17" x14ac:dyDescent="0.2">
      <c r="B23" s="20" t="s">
        <v>103</v>
      </c>
      <c r="C23" s="28">
        <f>223270*('2024 IR Data Book'!$A$5)</f>
        <v>60793.443337145342</v>
      </c>
      <c r="D23" s="28">
        <f>222236*('2024 IR Data Book'!$A$5)</f>
        <v>60511.898927190545</v>
      </c>
      <c r="E23" s="28">
        <f>10796*('2024 IR Data Book'!$A$5)</f>
        <v>2939.6068180580514</v>
      </c>
      <c r="F23" s="28">
        <f>10650*('2024 IR Data Book'!$A$5)</f>
        <v>2899.8529652017642</v>
      </c>
      <c r="G23" s="28">
        <f>6706*('2024 IR Data Book'!$A$5)</f>
        <v>1825.9543647552141</v>
      </c>
      <c r="H23" s="28">
        <f>4600.82545261298*('2024 IR Data Book'!$A$5)</f>
        <v>1252.7434113742254</v>
      </c>
      <c r="I23" s="28">
        <f>7992.15309642213*(('2024 IR Data Book'!$A$5))</f>
        <v>2176.1567000005798</v>
      </c>
      <c r="J23" s="28">
        <f>6569*(('2024 IR Data Book'!$A$5))</f>
        <v>1788.6510918695201</v>
      </c>
      <c r="K23" s="28">
        <f>6185*(('2024 IR Data Book'!$A$5))</f>
        <v>1684.0930131242171</v>
      </c>
      <c r="L23" s="28">
        <f>5877.20954858466*((('2024 IR Data Book'!$A$5)))</f>
        <v>1600.2857780821923</v>
      </c>
      <c r="M23" s="28">
        <f>5460.06813439397*((('2024 IR Data Book'!$A$5)))</f>
        <v>1486.7037342465744</v>
      </c>
      <c r="N23" s="28">
        <f>'[7]B.S PJSC'!$C$26*((('2024 IR Data Book'!$A$5)))</f>
        <v>1333.7421753424658</v>
      </c>
      <c r="O23" s="28">
        <f>'[8]B.S PJSC'!$C$26*((('2024 IR Data Book'!$A$5)))</f>
        <v>1149.4064273972599</v>
      </c>
      <c r="P23" s="28">
        <f>'[9]B.S PJSC'!$C$27*((('2024 IR Data Book'!$A$5)))</f>
        <v>1004.5846547945206</v>
      </c>
      <c r="Q23" s="28">
        <f>'[10]B.S PJSC'!$C$27*((('2024 IR Data Book'!$A$5)))</f>
        <v>877.09984383561641</v>
      </c>
    </row>
    <row r="24" spans="2:17" ht="15.75" thickBot="1" x14ac:dyDescent="0.3">
      <c r="B24" s="21" t="s">
        <v>104</v>
      </c>
      <c r="C24" s="43">
        <f t="shared" ref="C24:E24" si="10">C15+C22+C23</f>
        <v>1602831.7812993517</v>
      </c>
      <c r="D24" s="43">
        <f t="shared" si="10"/>
        <v>1600955.9984751947</v>
      </c>
      <c r="E24" s="43">
        <f t="shared" si="10"/>
        <v>1589073.1361977891</v>
      </c>
      <c r="F24" s="43">
        <f t="shared" ref="F24:K24" si="11">F15+F22+F23</f>
        <v>1470333.8978270469</v>
      </c>
      <c r="G24" s="43">
        <f t="shared" si="11"/>
        <v>1450469.6944943639</v>
      </c>
      <c r="H24" s="43">
        <f t="shared" si="11"/>
        <v>1401851.1157468108</v>
      </c>
      <c r="I24" s="43">
        <f t="shared" si="11"/>
        <v>1374356.2577811982</v>
      </c>
      <c r="J24" s="43">
        <f t="shared" si="11"/>
        <v>1658908.9473397592</v>
      </c>
      <c r="K24" s="43">
        <f t="shared" si="11"/>
        <v>1644857.3217883788</v>
      </c>
      <c r="L24" s="43">
        <f t="shared" ref="L24:M24" si="12">L15+L22+L23</f>
        <v>1574258.8801297522</v>
      </c>
      <c r="M24" s="43">
        <f t="shared" si="12"/>
        <v>1554819.9717555833</v>
      </c>
      <c r="N24" s="43">
        <f t="shared" ref="N24:O24" si="13">N15+N22+N23</f>
        <v>1586842.9137415928</v>
      </c>
      <c r="O24" s="43">
        <f t="shared" si="13"/>
        <v>1579584.8192775289</v>
      </c>
      <c r="P24" s="43">
        <f t="shared" ref="P24:Q24" si="14">P15+P22+P23</f>
        <v>1538670.932225971</v>
      </c>
      <c r="Q24" s="43">
        <f t="shared" si="14"/>
        <v>1553067.1756190199</v>
      </c>
    </row>
    <row r="25" spans="2:17" ht="13.5" thickTop="1" x14ac:dyDescent="0.2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ht="15" x14ac:dyDescent="0.25">
      <c r="B26" s="21" t="s">
        <v>105</v>
      </c>
    </row>
    <row r="27" spans="2:17" x14ac:dyDescent="0.2">
      <c r="B27" s="20" t="s">
        <v>106</v>
      </c>
      <c r="C27" s="28">
        <f>1464100*('2024 IR Data Book'!$A$5)</f>
        <v>398654.90388280782</v>
      </c>
      <c r="D27" s="28">
        <f>1464100*('2024 IR Data Book'!$A$5)</f>
        <v>398654.90388280782</v>
      </c>
      <c r="E27" s="28">
        <f>1464100*('2024 IR Data Book'!$A$5)</f>
        <v>398654.90388280782</v>
      </c>
      <c r="F27" s="28">
        <f>1464100*('2024 IR Data Book'!$A$5)</f>
        <v>398654.90388280782</v>
      </c>
      <c r="G27" s="28">
        <f>1464100*('2024 IR Data Book'!$A$5)</f>
        <v>398654.90388280782</v>
      </c>
      <c r="H27" s="28">
        <f>1464100.0005029*('2024 IR Data Book'!$A$5)</f>
        <v>398654.90401974076</v>
      </c>
      <c r="I27" s="28">
        <f>1464100.0005029*(('2024 IR Data Book'!$A$5))</f>
        <v>398654.90401974076</v>
      </c>
      <c r="J27" s="28">
        <f>1464100*(('2024 IR Data Book'!$A$5))</f>
        <v>398654.90388280782</v>
      </c>
      <c r="K27" s="28">
        <f>1464100*(('2024 IR Data Book'!$A$5))</f>
        <v>398654.90388280782</v>
      </c>
      <c r="L27" s="28">
        <f>1464100.0005029*((('2024 IR Data Book'!$A$5)))</f>
        <v>398654.90401974076</v>
      </c>
      <c r="M27" s="28">
        <f>1464100.0004904*((('2024 IR Data Book'!$A$5)))</f>
        <v>398654.90401633718</v>
      </c>
      <c r="N27" s="28">
        <f>'[7]B.S PJSC'!$C$30*((('2024 IR Data Book'!$A$5)))</f>
        <v>398654.90401633747</v>
      </c>
      <c r="O27" s="28">
        <f>'[8]B.S PJSC'!$C$30*((('2024 IR Data Book'!$A$5)))</f>
        <v>398654.90401633747</v>
      </c>
      <c r="P27" s="28">
        <f>'[9]B.S PJSC'!$C$31*((('2024 IR Data Book'!$A$5)))</f>
        <v>398654.90401633747</v>
      </c>
      <c r="Q27" s="28">
        <f>'[10]B.S PJSC'!$C$31*((('2024 IR Data Book'!$A$5)))</f>
        <v>398654.90401633747</v>
      </c>
    </row>
    <row r="28" spans="2:17" x14ac:dyDescent="0.2">
      <c r="B28" s="20" t="s">
        <v>339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'[9]B.S PJSC'!$C$32*((('2024 IR Data Book'!$A$5)))</f>
        <v>-749.17957794417987</v>
      </c>
      <c r="Q28" s="28">
        <f>'[10]B.S PJSC'!$C$32*((('2024 IR Data Book'!$A$5)))</f>
        <v>-749.04179714091219</v>
      </c>
    </row>
    <row r="29" spans="2:17" x14ac:dyDescent="0.2">
      <c r="B29" s="20" t="s">
        <v>340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>
        <f>'[9]B.S PJSC'!$C$33*((('2024 IR Data Book'!$A$5)))</f>
        <v>-1187.0202859087799</v>
      </c>
      <c r="Q29" s="28">
        <f>'[10]B.S PJSC'!$C$33*((('2024 IR Data Book'!$A$5)))</f>
        <v>-1195.5430905377802</v>
      </c>
    </row>
    <row r="30" spans="2:17" x14ac:dyDescent="0.2">
      <c r="B30" s="20" t="s">
        <v>107</v>
      </c>
      <c r="C30" s="28">
        <f>408929*('2024 IR Data Book'!$A$5)</f>
        <v>111345.91297718236</v>
      </c>
      <c r="D30" s="28">
        <f>408929*('2024 IR Data Book'!$A$5)</f>
        <v>111345.91297718236</v>
      </c>
      <c r="E30" s="28">
        <f>(387956)*('2024 IR Data Book'!$A$5)</f>
        <v>105635.24478571038</v>
      </c>
      <c r="F30" s="28">
        <f>440802*('2024 IR Data Book'!$A$5)</f>
        <v>120024.50579970592</v>
      </c>
      <c r="G30" s="28">
        <f>440802*('2024 IR Data Book'!$A$5)</f>
        <v>120024.50579970592</v>
      </c>
      <c r="H30" s="28">
        <f>440802.007164254*('2024 IR Data Book'!$A$5)</f>
        <v>120024.50775043675</v>
      </c>
      <c r="I30" s="28">
        <f>440802.009766593*(('2024 IR Data Book'!$A$5))</f>
        <v>120024.50845901894</v>
      </c>
      <c r="J30" s="28">
        <f>471734*(('2024 IR Data Book'!$A$5))</f>
        <v>128446.8768719708</v>
      </c>
      <c r="K30" s="28">
        <f>471734*(('2024 IR Data Book'!$A$5))</f>
        <v>128446.8768719708</v>
      </c>
      <c r="L30" s="28">
        <f>471733.646084619*((('2024 IR Data Book'!$A$5)))</f>
        <v>128446.78050553259</v>
      </c>
      <c r="M30" s="28">
        <f>471733.645825985*((('2024 IR Data Book'!$A$5)))</f>
        <v>128446.78043510999</v>
      </c>
      <c r="N30" s="28">
        <f>'[7]B.S PJSC'!$C$31*((('2024 IR Data Book'!$A$5)))</f>
        <v>136364.96523624152</v>
      </c>
      <c r="O30" s="28">
        <f>'[8]B.S PJSC'!$C$31*((('2024 IR Data Book'!$A$5)))</f>
        <v>136364.96523624155</v>
      </c>
      <c r="P30" s="28">
        <f>'[9]B.S PJSC'!$C$34*((('2024 IR Data Book'!$A$5)))</f>
        <v>136364.96523624155</v>
      </c>
      <c r="Q30" s="28">
        <f>'[10]B.S PJSC'!$C$34*((('2024 IR Data Book'!$A$5)))</f>
        <v>136364.96502690282</v>
      </c>
    </row>
    <row r="31" spans="2:17" x14ac:dyDescent="0.2">
      <c r="B31" s="20" t="s">
        <v>108</v>
      </c>
      <c r="C31" s="28">
        <f>-346490*('2024 IR Data Book'!$A$5)</f>
        <v>-94344.606001198059</v>
      </c>
      <c r="D31" s="28">
        <f>-330959*('2024 IR Data Book'!$A$5)</f>
        <v>-90115.721831944669</v>
      </c>
      <c r="E31" s="28">
        <f>-245213*('2024 IR Data Book'!$A$5)</f>
        <v>-66768.229592114571</v>
      </c>
      <c r="F31" s="28">
        <f>-398529*('2024 IR Data Book'!$A$5)</f>
        <v>-108514.13167783042</v>
      </c>
      <c r="G31" s="28">
        <f>-434219*('2024 IR Data Book'!$A$5)</f>
        <v>-118232.04269454881</v>
      </c>
      <c r="H31" s="28">
        <f>-440973.294269109*('2024 IR Data Book'!$A$5)</f>
        <v>-120071.14694470103</v>
      </c>
      <c r="I31" s="28">
        <f>-458575.470851612*(('2024 IR Data Book'!$A$5))</f>
        <v>-124863.98487491476</v>
      </c>
      <c r="J31" s="28">
        <f>-529432*(('2024 IR Data Book'!$A$5))</f>
        <v>-144157.2727767794</v>
      </c>
      <c r="K31" s="28">
        <f>-547489*(('2024 IR Data Book'!$A$5))</f>
        <v>-149073.95305777923</v>
      </c>
      <c r="L31" s="28">
        <f>-556762.542076393*((('2024 IR Data Book'!$A$5)))</f>
        <v>-151599.01488765262</v>
      </c>
      <c r="M31" s="28">
        <f>-549693.668729393*((('2024 IR Data Book'!$A$5)))</f>
        <v>-149674.25495000626</v>
      </c>
      <c r="N31" s="28">
        <f>'[7]B.S PJSC'!$C$32*((('2024 IR Data Book'!$A$5)))</f>
        <v>-152485.17798887059</v>
      </c>
      <c r="O31" s="28">
        <f>'[8]B.S PJSC'!$C$32*((('2024 IR Data Book'!$A$5)))</f>
        <v>-159556.51988582683</v>
      </c>
      <c r="P31" s="28">
        <f>'[9]B.S PJSC'!$C$35*((('2024 IR Data Book'!$A$5)))</f>
        <v>-160165.12958049052</v>
      </c>
      <c r="Q31" s="28">
        <f>'[10]B.S PJSC'!$C$35*((('2024 IR Data Book'!$A$5)))</f>
        <v>-159968.29498401989</v>
      </c>
    </row>
    <row r="32" spans="2:17" x14ac:dyDescent="0.2">
      <c r="B32" s="20" t="s">
        <v>109</v>
      </c>
      <c r="C32" s="28">
        <f>-335186*('2024 IR Data Book'!$A$5)</f>
        <v>-91266.677558133204</v>
      </c>
      <c r="D32" s="28">
        <f>-335186*('2024 IR Data Book'!$A$5)</f>
        <v>-91266.677558133204</v>
      </c>
      <c r="E32" s="28">
        <f>(-329759)*('2024 IR Data Book'!$A$5)</f>
        <v>-89788.977835865589</v>
      </c>
      <c r="F32" s="28">
        <f>-329759*('2024 IR Data Book'!$A$5)</f>
        <v>-89788.977835865589</v>
      </c>
      <c r="G32" s="28">
        <f>-329759*('2024 IR Data Book'!$A$5)</f>
        <v>-89788.977835865589</v>
      </c>
      <c r="H32" s="28">
        <f>-329758.835389051*('2024 IR Data Book'!$A$5)</f>
        <v>-89788.933014499533</v>
      </c>
      <c r="I32" s="28">
        <f>-329758.835389051*(('2024 IR Data Book'!$A$5))</f>
        <v>-89788.933014499533</v>
      </c>
      <c r="J32" s="28">
        <f>-329908*(('2024 IR Data Book'!$A$5))</f>
        <v>-89829.548548712075</v>
      </c>
      <c r="K32" s="28">
        <f>-329908*(('2024 IR Data Book'!$A$5))</f>
        <v>-89829.548548712075</v>
      </c>
      <c r="L32" s="28">
        <f>-336985.876829251*((('2024 IR Data Book'!$A$5)))</f>
        <v>-91756.760014499538</v>
      </c>
      <c r="M32" s="28">
        <f>-336985.876829251*((('2024 IR Data Book'!$A$5)))</f>
        <v>-91756.760014499538</v>
      </c>
      <c r="N32" s="28">
        <f>'[7]B.S PJSC'!$C$33*((('2024 IR Data Book'!$A$5)))</f>
        <v>-91756.760014499523</v>
      </c>
      <c r="O32" s="28">
        <f>'[8]B.S PJSC'!$C$33*((('2024 IR Data Book'!$A$5)))</f>
        <v>-91756.760014499523</v>
      </c>
      <c r="P32" s="28">
        <f>'[9]B.S PJSC'!$C$36*((('2024 IR Data Book'!$A$5)))</f>
        <v>-91756.760014499523</v>
      </c>
      <c r="Q32" s="28">
        <f>'[10]B.S PJSC'!$C$36*((('2024 IR Data Book'!$A$5)))</f>
        <v>-91756.760014499523</v>
      </c>
    </row>
    <row r="33" spans="2:17" x14ac:dyDescent="0.2">
      <c r="B33" s="20" t="s">
        <v>110</v>
      </c>
      <c r="C33" s="28">
        <f>-7123*('2024 IR Data Book'!$A$5)</f>
        <v>-1939.4979033926918</v>
      </c>
      <c r="D33" s="28">
        <f>-7148*('2024 IR Data Book'!$A$5)</f>
        <v>-1946.3050699776725</v>
      </c>
      <c r="E33" s="28">
        <f>-12372*('2024 IR Data Book'!$A$5)</f>
        <v>-3368.7305995752326</v>
      </c>
      <c r="F33" s="28">
        <f>-12008*('2024 IR Data Book'!$A$5)</f>
        <v>-3269.6182540979139</v>
      </c>
      <c r="G33" s="28">
        <f>-11881*('2024 IR Data Book'!$A$5)</f>
        <v>-3235.0378478462121</v>
      </c>
      <c r="H33" s="28">
        <f>-12015.4950132358*('2024 IR Data Book'!$A$5)</f>
        <v>-3271.6590462440236</v>
      </c>
      <c r="I33" s="28">
        <f>-12031.0908187677*(('2024 IR Data Book'!$A$5))</f>
        <v>-3275.9055760953274</v>
      </c>
      <c r="J33" s="28">
        <f>-11804*(('2024 IR Data Book'!$A$5))</f>
        <v>-3214.0717747644717</v>
      </c>
      <c r="K33" s="28">
        <f>-11806*(('2024 IR Data Book'!$A$5))</f>
        <v>-3214.6163480912705</v>
      </c>
      <c r="L33" s="28">
        <f>-11810.2691153082*((('2024 IR Data Book'!$A$5)))</f>
        <v>-3215.7787712542067</v>
      </c>
      <c r="M33" s="28">
        <f>-11900.435236126*((('2024 IR Data Book'!$A$5)))</f>
        <v>-3240.3298034433374</v>
      </c>
      <c r="N33" s="28">
        <f>'[7]B.S PJSC'!$C$34*((('2024 IR Data Book'!$A$5)))</f>
        <v>-3271.6166248552199</v>
      </c>
      <c r="O33" s="28">
        <f>'[8]B.S PJSC'!$C$34*((('2024 IR Data Book'!$A$5)))</f>
        <v>-3222.5859376478975</v>
      </c>
      <c r="P33" s="28">
        <f>'[9]B.S PJSC'!$C$37*((('2024 IR Data Book'!$A$5)))</f>
        <v>-3179.0591271963781</v>
      </c>
      <c r="Q33" s="28">
        <f>'[10]B.S PJSC'!$C$37*((('2024 IR Data Book'!$A$5)))</f>
        <v>-3148.8397130574476</v>
      </c>
    </row>
    <row r="34" spans="2:17" x14ac:dyDescent="0.2">
      <c r="B34" s="20" t="s">
        <v>111</v>
      </c>
      <c r="C34" s="35">
        <f>1549217*('2024 IR Data Book'!$A$5)</f>
        <v>421831.12781135977</v>
      </c>
      <c r="D34" s="35">
        <f>1424350*('2024 IR Data Book'!$A$5)</f>
        <v>387831.50901268853</v>
      </c>
      <c r="E34" s="35">
        <f>1507169*('2024 IR Data Book'!$A$5)</f>
        <v>410382.01818874909</v>
      </c>
      <c r="F34" s="35">
        <f>1500570*('2024 IR Data Book'!$A$5)</f>
        <v>408585.19849697762</v>
      </c>
      <c r="G34" s="35">
        <f>1547872*('2024 IR Data Book'!$A$5)</f>
        <v>421464.90224908781</v>
      </c>
      <c r="H34" s="35">
        <f>1402107.88355813*('2024 IR Data Book'!$A$5)</f>
        <v>381775.27733979467</v>
      </c>
      <c r="I34" s="35">
        <f>1441751.34506467*(('2024 IR Data Book'!$A$5))</f>
        <v>392569.66319900617</v>
      </c>
      <c r="J34" s="35">
        <f>1444833*(('2024 IR Data Book'!$A$5))</f>
        <v>393408.75673909491</v>
      </c>
      <c r="K34" s="35">
        <f>1468741.61847322*(('2024 IR Data Book'!$A$5))</f>
        <v>399918.75468965305</v>
      </c>
      <c r="L34" s="35">
        <f>1348122.32361925*((('2024 IR Data Book'!$A$5)))</f>
        <v>367075.72935229808</v>
      </c>
      <c r="M34" s="35">
        <f>1357763.60136063*((('2024 IR Data Book'!$A$5)))</f>
        <v>369700.92069940368</v>
      </c>
      <c r="N34" s="35">
        <f>'[7]B.S PJSC'!$C$35*((('2024 IR Data Book'!$A$5)))</f>
        <v>382690.8187843113</v>
      </c>
      <c r="O34" s="35">
        <f>'[8]B.S PJSC'!$C$35*((('2024 IR Data Book'!$A$5)))</f>
        <v>395369.80634377507</v>
      </c>
      <c r="P34" s="35">
        <f>'[9]B.S PJSC'!$C$38*((('2024 IR Data Book'!$A$5)))</f>
        <v>396157.5726304765</v>
      </c>
      <c r="Q34" s="35">
        <f>'[10]B.S PJSC'!$C$38*((('2024 IR Data Book'!$A$5)))</f>
        <v>403423.58034715999</v>
      </c>
    </row>
    <row r="35" spans="2:17" x14ac:dyDescent="0.2"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ht="15" x14ac:dyDescent="0.25">
      <c r="B36" s="21" t="s">
        <v>112</v>
      </c>
      <c r="C36" s="28">
        <f>(SUM(C27:C35))</f>
        <v>744281.16320862598</v>
      </c>
      <c r="D36" s="28">
        <f t="shared" ref="D36:H36" si="15">(SUM(D27:D35))</f>
        <v>714503.62141262321</v>
      </c>
      <c r="E36" s="28">
        <f t="shared" si="15"/>
        <v>754746.22882971191</v>
      </c>
      <c r="F36" s="28">
        <f t="shared" si="15"/>
        <v>725691.88041169744</v>
      </c>
      <c r="G36" s="28">
        <f t="shared" si="15"/>
        <v>728888.25355334091</v>
      </c>
      <c r="H36" s="28">
        <f t="shared" si="15"/>
        <v>687322.95010452764</v>
      </c>
      <c r="I36" s="28">
        <f t="shared" ref="I36:J36" si="16">(SUM(I27:I35))</f>
        <v>693320.25221225619</v>
      </c>
      <c r="J36" s="28">
        <f t="shared" si="16"/>
        <v>683309.64439361775</v>
      </c>
      <c r="K36" s="28">
        <f t="shared" ref="K36" si="17">(SUM(K27:K35))</f>
        <v>684902.41748984915</v>
      </c>
      <c r="L36" s="28">
        <f>2378397.28218582*((('2024 IR Data Book'!$A$5)))</f>
        <v>647605.86020416592</v>
      </c>
      <c r="M36" s="28">
        <f>2395017.26688225*((('2024 IR Data Book'!$A$5)))</f>
        <v>652131.26038290316</v>
      </c>
      <c r="N36" s="28">
        <f>'[7]B.S PJSC'!$C$37*((('2024 IR Data Book'!$A$5)))</f>
        <v>670197.13340866496</v>
      </c>
      <c r="O36" s="28">
        <f>'[8]B.S PJSC'!$C$37*((('2024 IR Data Book'!$A$5)))</f>
        <v>675853.80975837982</v>
      </c>
      <c r="P36" s="28">
        <f>'[9]B.S PJSC'!$C$40*((('2024 IR Data Book'!$A$5)))</f>
        <v>674140.29329701606</v>
      </c>
      <c r="Q36" s="28">
        <f>'[10]B.S PJSC'!$C$40*((('2024 IR Data Book'!$A$5)))</f>
        <v>681624.96979114471</v>
      </c>
    </row>
    <row r="37" spans="2:17" x14ac:dyDescent="0.2">
      <c r="B37" s="20" t="s">
        <v>113</v>
      </c>
      <c r="C37" s="28">
        <f>14620*('2024 IR Data Book'!$A$5)</f>
        <v>3980.8310188966943</v>
      </c>
      <c r="D37" s="28">
        <f>14046*('2024 IR Data Book'!$A$5)</f>
        <v>3824.5384741055382</v>
      </c>
      <c r="E37" s="28">
        <f>11564*('2024 IR Data Book'!$A$5)</f>
        <v>3148.7229755486574</v>
      </c>
      <c r="F37" s="28">
        <f>10817*('2024 IR Data Book'!$A$5)</f>
        <v>2945.3248379894353</v>
      </c>
      <c r="G37" s="28">
        <f>10634*('2024 IR Data Book'!$A$5)</f>
        <v>2895.4963785873765</v>
      </c>
      <c r="H37" s="28">
        <f>9944.41812074526*('2024 IR Data Book'!$A$5)</f>
        <v>2707.7324295445351</v>
      </c>
      <c r="I37" s="28">
        <f>9251.50572697743*(('2024 IR Data Book'!$A$5))</f>
        <v>2519.0616258175214</v>
      </c>
      <c r="J37" s="28">
        <f>8865*(('2024 IR Data Book'!$A$5))</f>
        <v>2413.8212710341445</v>
      </c>
      <c r="K37" s="28">
        <f>8880*(('2024 IR Data Book'!$A$5))</f>
        <v>2417.9055709851332</v>
      </c>
      <c r="L37" s="28">
        <f>7374.89694070358*((('2024 IR Data Book'!$A$5)))</f>
        <v>2008.0860808973425</v>
      </c>
      <c r="M37" s="28">
        <f>6366.72801917138*((('2024 IR Data Book'!$A$5)))</f>
        <v>1733.5751291105428</v>
      </c>
      <c r="N37" s="28">
        <f>'[7]B.S PJSC'!$C$38*((('2024 IR Data Book'!$A$5)))</f>
        <v>1784.6822719852171</v>
      </c>
      <c r="O37" s="28">
        <f>'[8]B.S PJSC'!$C$38*((('2024 IR Data Book'!$A$5)))</f>
        <v>1740.9987712319246</v>
      </c>
      <c r="P37" s="28">
        <f>'[9]B.S PJSC'!$C$41*((('2024 IR Data Book'!$A$5)))</f>
        <v>1271.0881615333119</v>
      </c>
      <c r="Q37" s="28">
        <f>'[10]B.S PJSC'!$C$41*((('2024 IR Data Book'!$A$5)))</f>
        <v>1337.9512470198679</v>
      </c>
    </row>
    <row r="38" spans="2:17" ht="15.75" thickBot="1" x14ac:dyDescent="0.3">
      <c r="B38" s="21" t="s">
        <v>114</v>
      </c>
      <c r="C38" s="42">
        <f t="shared" ref="C38:E38" si="18">SUM(C36:C37)</f>
        <v>748261.99422752263</v>
      </c>
      <c r="D38" s="42">
        <f t="shared" si="18"/>
        <v>718328.15988672874</v>
      </c>
      <c r="E38" s="42">
        <f t="shared" si="18"/>
        <v>757894.95180526061</v>
      </c>
      <c r="F38" s="42">
        <f t="shared" ref="F38:K38" si="19">SUM(F36:F37)</f>
        <v>728637.20524968684</v>
      </c>
      <c r="G38" s="42">
        <f t="shared" si="19"/>
        <v>731783.74993192824</v>
      </c>
      <c r="H38" s="42">
        <f t="shared" si="19"/>
        <v>690030.6825340722</v>
      </c>
      <c r="I38" s="42">
        <f t="shared" si="19"/>
        <v>695839.31383807375</v>
      </c>
      <c r="J38" s="42">
        <f t="shared" si="19"/>
        <v>685723.46566465194</v>
      </c>
      <c r="K38" s="42">
        <f t="shared" si="19"/>
        <v>687320.32306083431</v>
      </c>
      <c r="L38" s="42">
        <f t="shared" ref="L38:M38" si="20">SUM(L36:L37)</f>
        <v>649613.94628506328</v>
      </c>
      <c r="M38" s="42">
        <f t="shared" si="20"/>
        <v>653864.83551201376</v>
      </c>
      <c r="N38" s="42">
        <f t="shared" ref="N38:O38" si="21">SUM(N36:N37)</f>
        <v>671981.81568065018</v>
      </c>
      <c r="O38" s="42">
        <f t="shared" si="21"/>
        <v>677594.80852961179</v>
      </c>
      <c r="P38" s="42">
        <f t="shared" ref="P38:Q38" si="22">SUM(P36:P37)</f>
        <v>675411.38145854941</v>
      </c>
      <c r="Q38" s="42">
        <f t="shared" si="22"/>
        <v>682962.92103816452</v>
      </c>
    </row>
    <row r="39" spans="2:17" x14ac:dyDescent="0.2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ht="15" x14ac:dyDescent="0.25">
      <c r="B40" s="21" t="s">
        <v>115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ht="15" x14ac:dyDescent="0.25">
      <c r="B41" s="21" t="s">
        <v>116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x14ac:dyDescent="0.2">
      <c r="B42" s="20" t="s">
        <v>117</v>
      </c>
      <c r="C42" s="28">
        <f>155368*('2024 IR Data Book'!$A$5)</f>
        <v>42304.634319011049</v>
      </c>
      <c r="D42" s="28">
        <f>146488*('2024 IR Data Book'!$A$5)</f>
        <v>39886.728748025918</v>
      </c>
      <c r="E42" s="28">
        <f>139069*('2024 IR Data Book'!$A$5)</f>
        <v>37866.63399226706</v>
      </c>
      <c r="F42" s="28">
        <f>137259*('2024 IR Data Book'!$A$5)</f>
        <v>37373.79513151446</v>
      </c>
      <c r="G42" s="28">
        <f>137922*('2024 IR Data Book'!$A$5)</f>
        <v>37554.321189348142</v>
      </c>
      <c r="H42" s="28">
        <f>122172.398073862*('2024 IR Data Book'!$A$5)</f>
        <v>33265.914631013991</v>
      </c>
      <c r="I42" s="28">
        <f>110045.869283579*(('2024 IR Data Book'!$A$5))</f>
        <v>29964.022568093176</v>
      </c>
      <c r="J42" s="28">
        <f>1086304*(('2024 IR Data Book'!$A$5))</f>
        <v>295786.09159723355</v>
      </c>
      <c r="K42" s="28">
        <f>1087207*(('2024 IR Data Book'!$A$5))</f>
        <v>296031.96645428304</v>
      </c>
      <c r="L42" s="28">
        <f>1088847.78888998*((('2024 IR Data Book'!$A$5)))</f>
        <v>296478.73138647823</v>
      </c>
      <c r="M42" s="28">
        <f>1076661.32367452*((('2024 IR Data Book'!$A$5)))</f>
        <v>293160.51943432988</v>
      </c>
      <c r="N42" s="28">
        <f>'[7]B.S PJSC'!$C$43*((('2024 IR Data Book'!$A$5)))</f>
        <v>290621.09939937957</v>
      </c>
      <c r="O42" s="28">
        <f>'[8]B.S PJSC'!$C$43*((('2024 IR Data Book'!$A$5)))</f>
        <v>280675.60671832162</v>
      </c>
      <c r="P42" s="28">
        <f>'[9]B.S PJSC'!$C$46*((('2024 IR Data Book'!$A$5)))</f>
        <v>258872.89023093614</v>
      </c>
      <c r="Q42" s="28">
        <f>'[10]B.S PJSC'!$C$46*((('2024 IR Data Book'!$A$5)))</f>
        <v>253170.68093021691</v>
      </c>
    </row>
    <row r="43" spans="2:17" x14ac:dyDescent="0.2">
      <c r="B43" s="20" t="s">
        <v>118</v>
      </c>
      <c r="C43" s="28">
        <f>669312*('2024 IR Data Book'!$A$5)</f>
        <v>182244.73125306322</v>
      </c>
      <c r="D43" s="28">
        <f>720024*('2024 IR Data Book'!$A$5)</f>
        <v>196052.93252736481</v>
      </c>
      <c r="E43" s="28">
        <f>730981*('2024 IR Data Book'!$A$5)</f>
        <v>199036.37749823014</v>
      </c>
      <c r="F43" s="28">
        <f>754933*('2024 IR Data Book'!$A$5)</f>
        <v>205558.18765996842</v>
      </c>
      <c r="G43" s="28">
        <f>744238*('2024 IR Data Book'!$A$5)</f>
        <v>202646.08179491368</v>
      </c>
      <c r="H43" s="28">
        <f>794947.789637232*('2024 IR Data Book'!$A$5)</f>
        <v>216453.68121691226</v>
      </c>
      <c r="I43" s="28">
        <f>774058.801887165*(('2024 IR Data Book'!$A$5))</f>
        <v>210765.88844065921</v>
      </c>
      <c r="J43" s="28">
        <f>757036*(('2024 IR Data Book'!$A$5))</f>
        <v>206130.80651309699</v>
      </c>
      <c r="K43" s="28">
        <f>784551*(('2024 IR Data Book'!$A$5))</f>
        <v>213622.77405652669</v>
      </c>
      <c r="L43" s="28">
        <f>772653.982024996*((('2024 IR Data Book'!$A$5)))</f>
        <v>210383.37472771222</v>
      </c>
      <c r="M43" s="28">
        <f>749747.858117818*((('2024 IR Data Book'!$A$5)))</f>
        <v>204146.34267761747</v>
      </c>
      <c r="N43" s="28">
        <f>'[7]B.S PJSC'!$C$44*((('2024 IR Data Book'!$A$5)))</f>
        <v>210179.65931078373</v>
      </c>
      <c r="O43" s="28">
        <f>'[8]B.S PJSC'!$C$44*((('2024 IR Data Book'!$A$5)))</f>
        <v>201868.30120766116</v>
      </c>
      <c r="P43" s="28">
        <f>'[9]B.S PJSC'!$C$47*((('2024 IR Data Book'!$A$5)))</f>
        <v>201798.58156146426</v>
      </c>
      <c r="Q43" s="28">
        <f>'[10]B.S PJSC'!$C$47*((('2024 IR Data Book'!$A$5)))</f>
        <v>204676.23142427928</v>
      </c>
    </row>
    <row r="44" spans="2:17" x14ac:dyDescent="0.2">
      <c r="B44" s="20" t="s">
        <v>119</v>
      </c>
      <c r="C44" s="28">
        <f>152120*('2024 IR Data Book'!$A$5)</f>
        <v>41420.247236290365</v>
      </c>
      <c r="D44" s="28">
        <f>151634*('2024 IR Data Book'!$A$5)</f>
        <v>41287.915917878337</v>
      </c>
      <c r="E44" s="28">
        <f>151071*('2024 IR Data Book'!$A$5)</f>
        <v>41134.618526384576</v>
      </c>
      <c r="F44" s="28">
        <f>148822*('2024 IR Data Book'!$A$5)</f>
        <v>40522.245820399716</v>
      </c>
      <c r="G44" s="28">
        <f>148248*('2024 IR Data Book'!$A$5)</f>
        <v>40365.953275608561</v>
      </c>
      <c r="H44" s="28">
        <f>152316.131298976*('2024 IR Data Book'!$A$5)</f>
        <v>41473.651173276696</v>
      </c>
      <c r="I44" s="28">
        <f>154912.371507284*(('2024 IR Data Book'!$A$5))</f>
        <v>42180.572756979796</v>
      </c>
      <c r="J44" s="28">
        <f>164136*(('2024 IR Data Book'!$A$5))</f>
        <v>44692.043783695473</v>
      </c>
      <c r="K44" s="28">
        <f>162637*(('2024 IR Data Book'!$A$5))</f>
        <v>44283.88607526003</v>
      </c>
      <c r="L44" s="28">
        <f>165335.750656825*((('2024 IR Data Book'!$A$5)))</f>
        <v>45018.719886953382</v>
      </c>
      <c r="M44" s="28">
        <f>169613.640533266*((('2024 IR Data Book'!$A$5)))</f>
        <v>46183.532247798837</v>
      </c>
      <c r="N44" s="28">
        <f>'[7]B.S PJSC'!$C$45*((('2024 IR Data Book'!$A$5)))</f>
        <v>46280.00618030702</v>
      </c>
      <c r="O44" s="28">
        <f>'[8]B.S PJSC'!$C$45*((('2024 IR Data Book'!$A$5)))</f>
        <v>48273.462303613167</v>
      </c>
      <c r="P44" s="28">
        <f>'[9]B.S PJSC'!$C$48*((('2024 IR Data Book'!$A$5)))</f>
        <v>49156.861427231182</v>
      </c>
      <c r="Q44" s="28">
        <f>'[10]B.S PJSC'!$C$48*((('2024 IR Data Book'!$A$5)))</f>
        <v>52796.980612592866</v>
      </c>
    </row>
    <row r="45" spans="2:17" x14ac:dyDescent="0.2">
      <c r="B45" s="20" t="s">
        <v>120</v>
      </c>
      <c r="C45" s="28">
        <f>58340*('2024 IR Data Book'!$A$5)</f>
        <v>15885.203942710885</v>
      </c>
      <c r="D45" s="28">
        <f>60872*('2024 IR Data Book'!$A$5)</f>
        <v>16574.633774437727</v>
      </c>
      <c r="E45" s="28">
        <f>67701*('2024 IR Data Book'!$A$5)</f>
        <v>18434.079398791047</v>
      </c>
      <c r="F45" s="28">
        <f>42114*('2024 IR Data Book'!$A$5)</f>
        <v>11467.080542395033</v>
      </c>
      <c r="G45" s="28">
        <f>41398*('2024 IR Data Book'!$A$5)</f>
        <v>11272.123291401187</v>
      </c>
      <c r="H45" s="28">
        <f>37510.7120458181*('2024 IR Data Book'!$A$5)</f>
        <v>10213.666624684991</v>
      </c>
      <c r="I45" s="28">
        <f>31682.782300513*(('2024 IR Data Book'!$A$5))</f>
        <v>8626.7990798107603</v>
      </c>
      <c r="J45" s="28">
        <f>30828*(('2024 IR Data Book'!$A$5))</f>
        <v>8394.0532592713607</v>
      </c>
      <c r="K45" s="28">
        <f>30172*(('2024 IR Data Book'!$A$5))</f>
        <v>8215.4332080814675</v>
      </c>
      <c r="L45" s="28">
        <f>32589.7197498808*((('2024 IR Data Book'!$A$5)))</f>
        <v>8873.7460518109237</v>
      </c>
      <c r="M45" s="28">
        <f>32520.9410235478*((('2024 IR Data Book'!$A$5)))</f>
        <v>8855.0185219048617</v>
      </c>
      <c r="N45" s="28">
        <f>'[7]B.S PJSC'!$C$46*((('2024 IR Data Book'!$A$5)))</f>
        <v>9856.162247271679</v>
      </c>
      <c r="O45" s="28">
        <f>'[8]B.S PJSC'!$C$46*((('2024 IR Data Book'!$A$5)))</f>
        <v>9340.6252290190278</v>
      </c>
      <c r="P45" s="28">
        <f>'[9]B.S PJSC'!$C$49*((('2024 IR Data Book'!$A$5)))</f>
        <v>10304.035150270405</v>
      </c>
      <c r="Q45" s="28">
        <f>'[10]B.S PJSC'!$C$49*((('2024 IR Data Book'!$A$5)))</f>
        <v>11460.091412491303</v>
      </c>
    </row>
    <row r="46" spans="2:17" x14ac:dyDescent="0.2">
      <c r="B46" s="20" t="s">
        <v>121</v>
      </c>
      <c r="C46" s="28">
        <f>0*('2024 IR Data Book'!$A$5)</f>
        <v>0</v>
      </c>
      <c r="D46" s="28">
        <f>0*('2024 IR Data Book'!$A$5)</f>
        <v>0</v>
      </c>
      <c r="E46" s="28">
        <f>18964*('2024 IR Data Book'!$A$5)</f>
        <v>5163.6442847029348</v>
      </c>
      <c r="F46" s="28">
        <f>18305*('2024 IR Data Book'!$A$5)</f>
        <v>4984.2073735228441</v>
      </c>
      <c r="G46" s="28">
        <f>18047*('2024 IR Data Book'!$A$5)</f>
        <v>4913.9574143658438</v>
      </c>
      <c r="H46" s="28">
        <f>15709.402135929*('2024 IR Data Book'!$A$5)</f>
        <v>4277.4606915887925</v>
      </c>
      <c r="I46" s="28">
        <f>13870.2658370159*(('2024 IR Data Book'!$A$5))</f>
        <v>3776.6884052213418</v>
      </c>
      <c r="J46" s="28">
        <f>15960*(('2024 IR Data Book'!$A$5))</f>
        <v>4345.6951478516576</v>
      </c>
      <c r="K46" s="28">
        <f>14343*(('2024 IR Data Book'!$A$5))</f>
        <v>3905.4076131351085</v>
      </c>
      <c r="L46" s="28">
        <f>13510.6061910751*((('2024 IR Data Book'!$A$5)))</f>
        <v>3678.757880268774</v>
      </c>
      <c r="M46" s="28">
        <f>12803.0475773521*((('2024 IR Data Book'!$A$5)))</f>
        <v>3486.0991061787558</v>
      </c>
      <c r="N46" s="28">
        <f>'[7]B.S PJSC'!$C$47*((('2024 IR Data Book'!$A$5)))</f>
        <v>3540.1566182048027</v>
      </c>
      <c r="O46" s="28">
        <f>'[8]B.S PJSC'!$C$47*((('2024 IR Data Book'!$A$5)))</f>
        <v>3225.4508258527803</v>
      </c>
      <c r="P46" s="28">
        <f>'[9]B.S PJSC'!$C$50*((('2024 IR Data Book'!$A$5)))</f>
        <v>3155.9591042047505</v>
      </c>
      <c r="Q46" s="28">
        <f>'[10]B.S PJSC'!$C$50*((('2024 IR Data Book'!$A$5)))</f>
        <v>3158.3785441830887</v>
      </c>
    </row>
    <row r="47" spans="2:17" ht="15.75" thickBot="1" x14ac:dyDescent="0.3">
      <c r="C47" s="42">
        <f t="shared" ref="C47:E47" si="23">SUM(C42:C46)</f>
        <v>281854.8167510755</v>
      </c>
      <c r="D47" s="42">
        <f t="shared" si="23"/>
        <v>293802.21096770681</v>
      </c>
      <c r="E47" s="42">
        <f t="shared" si="23"/>
        <v>301635.35370037582</v>
      </c>
      <c r="F47" s="42">
        <f t="shared" ref="F47:K47" si="24">SUM(F42:F46)</f>
        <v>299905.51652780047</v>
      </c>
      <c r="G47" s="42">
        <f t="shared" si="24"/>
        <v>296752.43696563743</v>
      </c>
      <c r="H47" s="42">
        <f t="shared" si="24"/>
        <v>305684.37433747674</v>
      </c>
      <c r="I47" s="42">
        <f t="shared" si="24"/>
        <v>295313.97125076427</v>
      </c>
      <c r="J47" s="42">
        <f t="shared" si="24"/>
        <v>559348.69030114904</v>
      </c>
      <c r="K47" s="42">
        <f t="shared" si="24"/>
        <v>566059.46740728628</v>
      </c>
      <c r="L47" s="42">
        <f t="shared" ref="L47:M47" si="25">SUM(L42:L46)</f>
        <v>564433.32993322343</v>
      </c>
      <c r="M47" s="42">
        <f t="shared" si="25"/>
        <v>555831.51198782981</v>
      </c>
      <c r="N47" s="42">
        <f t="shared" ref="N47:O47" si="26">SUM(N42:N46)</f>
        <v>560477.08375594672</v>
      </c>
      <c r="O47" s="42">
        <f t="shared" si="26"/>
        <v>543383.4462844677</v>
      </c>
      <c r="P47" s="42">
        <f t="shared" ref="P47:Q47" si="27">SUM(P42:P46)</f>
        <v>523288.32747410669</v>
      </c>
      <c r="Q47" s="42">
        <f t="shared" si="27"/>
        <v>525262.36292376346</v>
      </c>
    </row>
    <row r="48" spans="2:17" ht="15" x14ac:dyDescent="0.25">
      <c r="B48" s="21" t="s">
        <v>122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2:17" x14ac:dyDescent="0.2">
      <c r="B49" s="20" t="s">
        <v>123</v>
      </c>
      <c r="C49" s="28">
        <f>301582*('2024 IR Data Book'!$A$5)</f>
        <v>82116.75652126559</v>
      </c>
      <c r="D49" s="28">
        <f>318984*('2024 IR Data Book'!$A$5)</f>
        <v>86855.08903773893</v>
      </c>
      <c r="E49" s="28">
        <f>296363*('2024 IR Data Book'!$A$5)</f>
        <v>80695.692424985027</v>
      </c>
      <c r="F49" s="28">
        <f>344120*('2024 IR Data Book'!$A$5)</f>
        <v>93699.286608941882</v>
      </c>
      <c r="G49" s="28">
        <f>311248*('2024 IR Data Book'!$A$5)</f>
        <v>84748.679409682503</v>
      </c>
      <c r="H49" s="28">
        <f>270356.066055253*('2024 IR Data Book'!$A$5)</f>
        <v>73614.35115592576</v>
      </c>
      <c r="I49" s="28">
        <f>250079.639366778*(('2024 IR Data Book'!$A$5))</f>
        <v>68093.350587261884</v>
      </c>
      <c r="J49" s="28">
        <f>324776*(('2024 IR Data Book'!$A$5))</f>
        <v>88432.173392147248</v>
      </c>
      <c r="K49" s="28">
        <f>311788*(('2024 IR Data Book'!$A$5))</f>
        <v>84895.714207918092</v>
      </c>
      <c r="L49" s="28">
        <f>308798.462235073*((('2024 IR Data Book'!$A$5)))</f>
        <v>84081.702944800127</v>
      </c>
      <c r="M49" s="28">
        <f>304316.87139823*((('2024 IR Data Book'!$A$5)))</f>
        <v>82861.425529115615</v>
      </c>
      <c r="N49" s="28">
        <f>'[7]B.S PJSC'!$C$51*((('2024 IR Data Book'!$A$5)))</f>
        <v>88864.445575584585</v>
      </c>
      <c r="O49" s="28">
        <f>'[8]B.S PJSC'!$C$51*((('2024 IR Data Book'!$A$5)))</f>
        <v>89902.076747106097</v>
      </c>
      <c r="P49" s="28">
        <f>'[9]B.S PJSC'!$C$54*((('2024 IR Data Book'!$A$5)))</f>
        <v>82314.729964576443</v>
      </c>
      <c r="Q49" s="28">
        <f>'[10]B.S PJSC'!$C$54*((('2024 IR Data Book'!$A$5)))</f>
        <v>87336.541830652161</v>
      </c>
    </row>
    <row r="50" spans="2:17" x14ac:dyDescent="0.2">
      <c r="B50" s="20" t="s">
        <v>118</v>
      </c>
      <c r="C50" s="28">
        <f>171726*('2024 IR Data Book'!$A$5)</f>
        <v>46758.699558895605</v>
      </c>
      <c r="D50" s="28">
        <f>166802*('2024 IR Data Book'!$A$5)</f>
        <v>45417.960028317808</v>
      </c>
      <c r="E50" s="28">
        <f>179242*('2024 IR Data Book'!$A$5)</f>
        <v>48805.206121004194</v>
      </c>
      <c r="F50" s="28">
        <f>180382*('2024 IR Data Book'!$A$5)</f>
        <v>49115.612917279308</v>
      </c>
      <c r="G50" s="28">
        <f>185454*('2024 IR Data Book'!$A$5)</f>
        <v>50496.650874040184</v>
      </c>
      <c r="H50" s="28">
        <f>181930.801708948*('2024 IR Data Book'!$A$5)</f>
        <v>49537.330966875787</v>
      </c>
      <c r="I50" s="28">
        <f>178491.574249645*(('2024 IR Data Book'!$A$5))</f>
        <v>48600.875197311165</v>
      </c>
      <c r="J50" s="28">
        <f>181687*(('2024 IR Data Book'!$A$5))</f>
        <v>49470.947013015299</v>
      </c>
      <c r="K50" s="28">
        <f>185955*(('2024 IR Data Book'!$A$5))</f>
        <v>50633.066492403203</v>
      </c>
      <c r="L50" s="28">
        <f>185034.134932906*((('2024 IR Data Book'!$A$5)))</f>
        <v>50382.327215843266</v>
      </c>
      <c r="M50" s="28">
        <f>177717.865379398*((('2024 IR Data Book'!$A$5)))</f>
        <v>48390.204590589223</v>
      </c>
      <c r="N50" s="28">
        <f>'[7]B.S PJSC'!$C$52*((('2024 IR Data Book'!$A$5)))</f>
        <v>48107.521924081244</v>
      </c>
      <c r="O50" s="28">
        <f>'[8]B.S PJSC'!$C$52*((('2024 IR Data Book'!$A$5)))</f>
        <v>46757.082192844762</v>
      </c>
      <c r="P50" s="28">
        <f>'[9]B.S PJSC'!$C$55*((('2024 IR Data Book'!$A$5)))</f>
        <v>47171.504285891708</v>
      </c>
      <c r="Q50" s="28">
        <f>'[10]B.S PJSC'!$C$55*((('2024 IR Data Book'!$A$5)))</f>
        <v>48591.692775878037</v>
      </c>
    </row>
    <row r="51" spans="2:17" x14ac:dyDescent="0.2">
      <c r="B51" s="20" t="s">
        <v>124</v>
      </c>
      <c r="C51" s="28">
        <f>145843*('2024 IR Data Book'!$A$5)</f>
        <v>39711.103850133419</v>
      </c>
      <c r="D51" s="28">
        <f>155122*('2024 IR Data Book'!$A$5)</f>
        <v>42237.651799814841</v>
      </c>
      <c r="E51" s="28">
        <f>170128*('2024 IR Data Book'!$A$5)</f>
        <v>46323.585470783641</v>
      </c>
      <c r="F51" s="28">
        <f>153113*('2024 IR Data Book'!$A$5)</f>
        <v>41690.627893045799</v>
      </c>
      <c r="G51" s="28">
        <f>156134*('2024 IR Data Book'!$A$5)</f>
        <v>42513.205903174858</v>
      </c>
      <c r="H51" s="28">
        <f>136850.951749966*('2024 IR Data Book'!$A$5)</f>
        <v>37262.689035006806</v>
      </c>
      <c r="I51" s="28">
        <f>157196.561404239*(('2024 IR Data Book'!$A$5))</f>
        <v>42802.527202591897</v>
      </c>
      <c r="J51" s="28">
        <f>131353*(('2024 IR Data Book'!$A$5))</f>
        <v>35765.670097478622</v>
      </c>
      <c r="K51" s="28">
        <f>41340*(('2024 IR Data Book'!$A$5))</f>
        <v>11256.330664924031</v>
      </c>
      <c r="L51" s="28">
        <f>5518.31675756188*((('2024 IR Data Book'!$A$5)))</f>
        <v>1502.5640574965637</v>
      </c>
      <c r="M51" s="28">
        <f>8366.59113084477*((('2024 IR Data Book'!$A$5)))</f>
        <v>2278.1111830432856</v>
      </c>
      <c r="N51" s="28">
        <f>'[7]B.S PJSC'!$C$53*((('2024 IR Data Book'!$A$5)))</f>
        <v>775.44044040637209</v>
      </c>
      <c r="O51" s="28">
        <f>'[8]B.S PJSC'!$C$53*((('2024 IR Data Book'!$A$5)))</f>
        <v>1371.9431000439558</v>
      </c>
      <c r="P51" s="28">
        <f>'[9]B.S PJSC'!$C$56*((('2024 IR Data Book'!$A$5)))</f>
        <v>1719.2036053507775</v>
      </c>
      <c r="Q51" s="28">
        <f>'[10]B.S PJSC'!$C$56*((('2024 IR Data Book'!$A$5)))</f>
        <v>1518.420584090921</v>
      </c>
    </row>
    <row r="52" spans="2:17" x14ac:dyDescent="0.2">
      <c r="B52" s="20" t="s">
        <v>125</v>
      </c>
      <c r="C52" s="28">
        <f>396594*('2024 IR Data Book'!$A$5)</f>
        <v>107987.2569841529</v>
      </c>
      <c r="D52" s="28">
        <f>396651*('2024 IR Data Book'!$A$5)</f>
        <v>108002.77732396667</v>
      </c>
      <c r="E52" s="28">
        <f>282409*('2024 IR Data Book'!$A$5)</f>
        <v>76896.204323912214</v>
      </c>
      <c r="F52" s="28">
        <f>27424*('2024 IR Data Book'!$A$5)</f>
        <v>7467.1894570603927</v>
      </c>
      <c r="G52" s="28">
        <f>29645*('2024 IR Data Book'!$A$5)</f>
        <v>8071.9381364700748</v>
      </c>
      <c r="H52" s="28">
        <f>30527.0124957848*('2024 IR Data Book'!$A$5)</f>
        <v>8312.0983760237432</v>
      </c>
      <c r="I52" s="28">
        <f>30784.9639042048*(('2024 IR Data Book'!$A$5))</f>
        <v>8382.3351043415569</v>
      </c>
      <c r="J52" s="28">
        <f>38865*(('2024 IR Data Book'!$A$5))</f>
        <v>10582.421173010945</v>
      </c>
      <c r="K52" s="28">
        <f>48483*(('2024 IR Data Book'!$A$5))</f>
        <v>13201.274301584708</v>
      </c>
      <c r="L52" s="28">
        <f>50031.9790338532*((('2024 IR Data Book'!$A$5)))</f>
        <v>13623.040634387953</v>
      </c>
      <c r="M52" s="28">
        <f>48239.2246246378*((('2024 IR Data Book'!$A$5)))</f>
        <v>13134.89751800844</v>
      </c>
      <c r="N52" s="28">
        <f>'[7]B.S PJSC'!$C$54*((('2024 IR Data Book'!$A$5)))</f>
        <v>13207.324763797613</v>
      </c>
      <c r="O52" s="28">
        <f>'[8]B.S PJSC'!$C$54*((('2024 IR Data Book'!$A$5)))</f>
        <v>10300.043402856947</v>
      </c>
      <c r="P52" s="28">
        <f>'[9]B.S PJSC'!$C$57*((('2024 IR Data Book'!$A$5)))</f>
        <v>10049.776555276827</v>
      </c>
      <c r="Q52" s="28">
        <f>'[10]B.S PJSC'!$C$57*((('2024 IR Data Book'!$A$5)))</f>
        <v>10168.60286215327</v>
      </c>
    </row>
    <row r="53" spans="2:17" x14ac:dyDescent="0.2">
      <c r="B53" s="20" t="s">
        <v>126</v>
      </c>
      <c r="C53" s="28">
        <f>80696*('2024 IR Data Book'!$A$5)</f>
        <v>21972.444589663995</v>
      </c>
      <c r="D53" s="28">
        <f>85881*('2024 IR Data Book'!$A$5)</f>
        <v>23384.250939388989</v>
      </c>
      <c r="E53" s="28">
        <f>94008*('2024 IR Data Book'!$A$5)</f>
        <v>25597.124652834504</v>
      </c>
      <c r="F53" s="28">
        <f>62547*('2024 IR Data Book'!$A$5)</f>
        <v>17030.713935631433</v>
      </c>
      <c r="G53" s="28">
        <f>63713*('2024 IR Data Book'!$A$5)</f>
        <v>17348.200185154928</v>
      </c>
      <c r="H53" s="28">
        <f>61136.7566261348*('2024 IR Data Book'!$A$5)</f>
        <v>16646.723472780806</v>
      </c>
      <c r="I53" s="28">
        <f>52704.6012868802*(('2024 IR Data Book'!$A$5))</f>
        <v>14350.760030191199</v>
      </c>
      <c r="J53" s="28">
        <f>46038*(('2024 IR Data Book'!$A$5))</f>
        <v>12535.533409573598</v>
      </c>
      <c r="K53" s="28">
        <f>53500*(('2024 IR Data Book'!$A$5))</f>
        <v>14567.336491858629</v>
      </c>
      <c r="L53" s="28">
        <f>41844.3929693609*((('2024 IR Data Book'!$A$5)))</f>
        <v>11393.670143593339</v>
      </c>
      <c r="M53" s="28">
        <f>37998.3247776962*((('2024 IR Data Book'!$A$5)))</f>
        <v>10346.437068479061</v>
      </c>
      <c r="N53" s="28">
        <f>'[7]B.S PJSC'!$C$55*((('2024 IR Data Book'!$A$5)))</f>
        <v>9986.2723786671468</v>
      </c>
      <c r="O53" s="28">
        <f>'[8]B.S PJSC'!$C$55*((('2024 IR Data Book'!$A$5)))</f>
        <v>12515.890779507563</v>
      </c>
      <c r="P53" s="28">
        <f>'[9]B.S PJSC'!$C$58*((('2024 IR Data Book'!$A$5)))</f>
        <v>9649.4368435610086</v>
      </c>
      <c r="Q53" s="28">
        <f>'[10]B.S PJSC'!$C$58*((('2024 IR Data Book'!$A$5)))</f>
        <v>9225.457132686357</v>
      </c>
    </row>
    <row r="54" spans="2:17" x14ac:dyDescent="0.2">
      <c r="B54" s="20" t="s">
        <v>127</v>
      </c>
      <c r="C54" s="28">
        <f>913390*('2024 IR Data Book'!$A$5)</f>
        <v>248703.91548221966</v>
      </c>
      <c r="D54" s="28">
        <f>947539*('2024 IR Data Book'!$A$5)</f>
        <v>258002.23275063987</v>
      </c>
      <c r="E54" s="28">
        <f>917790*('2024 IR Data Book'!$A$5)</f>
        <v>249901.97680117626</v>
      </c>
      <c r="F54" s="28">
        <f>850431*('2024 IR Data Book'!$A$5)</f>
        <v>231561.01944126777</v>
      </c>
      <c r="G54" s="28">
        <f>801300*('2024 IR Data Book'!$A$5)</f>
        <v>218183.30338180036</v>
      </c>
      <c r="H54" s="28">
        <f>809013.043521554*('2024 IR Data Book'!$A$5)</f>
        <v>220283.46226693731</v>
      </c>
      <c r="I54" s="28">
        <f>732255.651046816*(('2024 IR Data Book'!$A$5))</f>
        <v>199383.44797876599</v>
      </c>
      <c r="J54" s="28">
        <f>792231*(('2024 IR Data Book'!$A$5))</f>
        <v>215713.93563143277</v>
      </c>
      <c r="K54" s="28">
        <f>(53388+738756)*(('2024 IR Data Book'!$A$5))</f>
        <v>215690.24669171704</v>
      </c>
      <c r="L54" s="28">
        <f>727768.197714132*((('2024 IR Data Book'!$A$5)))</f>
        <v>198161.57428364974</v>
      </c>
      <c r="M54" s="28">
        <f>687428.756136055*((('2024 IR Data Book'!$A$5)))</f>
        <v>187177.68233296709</v>
      </c>
      <c r="N54" s="28">
        <f>('[7]B.S PJSC'!$C$56+'[7]B.S PJSC'!$C$57)*((('2024 IR Data Book'!$A$5)))</f>
        <v>192646.55252895842</v>
      </c>
      <c r="O54" s="28">
        <f>('[8]B.S PJSC'!$C$56+'[8]B.S PJSC'!$C$57)*((('2024 IR Data Book'!$A$5)))</f>
        <v>197062.42759588017</v>
      </c>
      <c r="P54" s="28">
        <f>('[9]B.S PJSC'!$C$59+'[9]B.S PJSC'!$C$60)*((('2024 IR Data Book'!$A$5)))</f>
        <v>188476.85374094947</v>
      </c>
      <c r="Q54" s="28">
        <f>('[10]B.S PJSC'!$C$59+'[10]B.S PJSC'!$C$60)*((('2024 IR Data Book'!$A$5)))</f>
        <v>187536.8334943582</v>
      </c>
    </row>
    <row r="55" spans="2:17" ht="15.75" thickBot="1" x14ac:dyDescent="0.3">
      <c r="C55" s="42">
        <f t="shared" ref="C55:E55" si="28">SUM(C49:C54)</f>
        <v>547250.17698633112</v>
      </c>
      <c r="D55" s="42">
        <f t="shared" si="28"/>
        <v>563899.96187986713</v>
      </c>
      <c r="E55" s="42">
        <f t="shared" si="28"/>
        <v>528219.7897946958</v>
      </c>
      <c r="F55" s="42">
        <f t="shared" ref="F55:K55" si="29">SUM(F49:F54)</f>
        <v>440564.45025322656</v>
      </c>
      <c r="G55" s="42">
        <f t="shared" si="29"/>
        <v>421361.97789032292</v>
      </c>
      <c r="H55" s="42">
        <f t="shared" si="29"/>
        <v>405656.65527355019</v>
      </c>
      <c r="I55" s="42">
        <f t="shared" si="29"/>
        <v>381613.29610046372</v>
      </c>
      <c r="J55" s="42">
        <f t="shared" si="29"/>
        <v>412500.68071665848</v>
      </c>
      <c r="K55" s="42">
        <f t="shared" si="29"/>
        <v>390243.96885040571</v>
      </c>
      <c r="L55" s="42">
        <f t="shared" ref="L55:M55" si="30">SUM(L49:L54)</f>
        <v>359144.879279771</v>
      </c>
      <c r="M55" s="42">
        <f t="shared" si="30"/>
        <v>344188.75822220271</v>
      </c>
      <c r="N55" s="42">
        <f t="shared" ref="N55:O55" si="31">SUM(N49:N54)</f>
        <v>353587.55761149537</v>
      </c>
      <c r="O55" s="42">
        <f t="shared" si="31"/>
        <v>357909.46381823951</v>
      </c>
      <c r="P55" s="42">
        <f t="shared" ref="P55:Q55" si="32">SUM(P49:P54)</f>
        <v>339381.50499560626</v>
      </c>
      <c r="Q55" s="42">
        <f t="shared" si="32"/>
        <v>344377.54867981898</v>
      </c>
    </row>
    <row r="56" spans="2:17" x14ac:dyDescent="0.2">
      <c r="B56" s="20" t="s">
        <v>128</v>
      </c>
      <c r="C56" s="28">
        <f>93522*('2024 IR Data Book'!$A$5)</f>
        <v>25464.79333442248</v>
      </c>
      <c r="D56" s="28">
        <f>91542*('2024 IR Data Book'!$A$5)</f>
        <v>24925.665740892011</v>
      </c>
      <c r="E56" s="28">
        <f>4859*('2024 IR Data Book'!$A$5)</f>
        <v>1323.0408974568425</v>
      </c>
      <c r="F56" s="28">
        <f>4505*('2024 IR Data Book'!$A$5)</f>
        <v>1226.6514186135162</v>
      </c>
      <c r="G56" s="28">
        <f>2099*('2024 IR Data Book'!$A$5)</f>
        <v>571.52970647497682</v>
      </c>
      <c r="H56" s="28">
        <f>1760.28422364487*('2024 IR Data Book'!$A$5)</f>
        <v>479.30191789055982</v>
      </c>
      <c r="I56" s="28">
        <f>5838.24756504022*(('2024 IR Data Book'!$A$5))</f>
        <v>1589.6769495834612</v>
      </c>
      <c r="J56" s="28">
        <f>4907*(('2024 IR Data Book'!$A$5))</f>
        <v>1336.1106573000054</v>
      </c>
      <c r="K56" s="28">
        <f>4530*(('2024 IR Data Book'!$A$5))</f>
        <v>1233.4585851984968</v>
      </c>
      <c r="L56" s="28">
        <f>3917.65053221425*((('2024 IR Data Book'!$A$5)))</f>
        <v>1066.7239917808226</v>
      </c>
      <c r="M56" s="28">
        <f>3433.39160844164*((('2024 IR Data Book'!$A$5)))</f>
        <v>934.86674520547842</v>
      </c>
      <c r="N56" s="28">
        <f>'[7]B.S PJSC'!$C$59*((('2024 IR Data Book'!$A$5)))</f>
        <v>796.45655890410978</v>
      </c>
      <c r="O56" s="28">
        <f>'[8]B.S PJSC'!$C$59*((('2024 IR Data Book'!$A$5)))</f>
        <v>697.1008410958907</v>
      </c>
      <c r="P56" s="28">
        <f>'[9]B.S PJSC'!$C$62*((('2024 IR Data Book'!$A$5)))</f>
        <v>589.71851232876713</v>
      </c>
      <c r="Q56" s="28">
        <f>'[10]B.S PJSC'!$C$62*((('2024 IR Data Book'!$A$5)))</f>
        <v>464.34338630136995</v>
      </c>
    </row>
    <row r="57" spans="2:17" ht="15" x14ac:dyDescent="0.25">
      <c r="B57" s="21" t="s">
        <v>129</v>
      </c>
      <c r="C57" s="44">
        <f t="shared" ref="C57:E57" si="33">C55+C56+C47</f>
        <v>854569.7870718292</v>
      </c>
      <c r="D57" s="44">
        <f t="shared" si="33"/>
        <v>882627.83858846594</v>
      </c>
      <c r="E57" s="44">
        <f t="shared" si="33"/>
        <v>831178.18439252838</v>
      </c>
      <c r="F57" s="44">
        <f t="shared" ref="F57:K57" si="34">F55+F56+F47</f>
        <v>741696.61819964054</v>
      </c>
      <c r="G57" s="44">
        <f t="shared" si="34"/>
        <v>718685.94456243538</v>
      </c>
      <c r="H57" s="44">
        <f t="shared" si="34"/>
        <v>711820.33152891742</v>
      </c>
      <c r="I57" s="44">
        <f t="shared" si="34"/>
        <v>678516.9443008115</v>
      </c>
      <c r="J57" s="44">
        <f t="shared" si="34"/>
        <v>973185.4816751075</v>
      </c>
      <c r="K57" s="44">
        <f t="shared" si="34"/>
        <v>957536.89484289056</v>
      </c>
      <c r="L57" s="44">
        <f t="shared" ref="L57:M57" si="35">L55+L56+L47</f>
        <v>924644.93320477521</v>
      </c>
      <c r="M57" s="44">
        <f t="shared" si="35"/>
        <v>900955.13695523795</v>
      </c>
      <c r="N57" s="44">
        <f t="shared" ref="N57:O57" si="36">N55+N56+N47</f>
        <v>914861.09792634612</v>
      </c>
      <c r="O57" s="44">
        <f t="shared" si="36"/>
        <v>901990.01094380312</v>
      </c>
      <c r="P57" s="44">
        <f t="shared" ref="P57:Q57" si="37">P55+P56+P47</f>
        <v>863259.55098204175</v>
      </c>
      <c r="Q57" s="44">
        <f t="shared" si="37"/>
        <v>870104.25498988386</v>
      </c>
    </row>
    <row r="58" spans="2:17" ht="15.75" thickBot="1" x14ac:dyDescent="0.3">
      <c r="B58" s="21" t="s">
        <v>130</v>
      </c>
      <c r="C58" s="43">
        <f t="shared" ref="C58:E58" si="38">C57+C38</f>
        <v>1602831.7812993517</v>
      </c>
      <c r="D58" s="43">
        <f t="shared" si="38"/>
        <v>1600955.9984751947</v>
      </c>
      <c r="E58" s="43">
        <f t="shared" si="38"/>
        <v>1589073.1361977891</v>
      </c>
      <c r="F58" s="43">
        <f t="shared" ref="F58:K58" si="39">F57+F38</f>
        <v>1470333.8234493274</v>
      </c>
      <c r="G58" s="43">
        <f t="shared" si="39"/>
        <v>1450469.6944943636</v>
      </c>
      <c r="H58" s="43">
        <f t="shared" si="39"/>
        <v>1401851.0140629895</v>
      </c>
      <c r="I58" s="43">
        <f t="shared" si="39"/>
        <v>1374356.2581388853</v>
      </c>
      <c r="J58" s="43">
        <f t="shared" si="39"/>
        <v>1658908.9473397594</v>
      </c>
      <c r="K58" s="43">
        <f t="shared" si="39"/>
        <v>1644857.2179037249</v>
      </c>
      <c r="L58" s="43">
        <f t="shared" ref="L58:M58" si="40">L57+L38</f>
        <v>1574258.8794898386</v>
      </c>
      <c r="M58" s="43">
        <f t="shared" si="40"/>
        <v>1554819.9724672516</v>
      </c>
      <c r="N58" s="43">
        <f t="shared" ref="N58:O58" si="41">N57+N38</f>
        <v>1586842.9136069962</v>
      </c>
      <c r="O58" s="43">
        <f t="shared" si="41"/>
        <v>1579584.8194734149</v>
      </c>
      <c r="P58" s="43">
        <f t="shared" ref="P58:Q58" si="42">P57+P38</f>
        <v>1538670.932440591</v>
      </c>
      <c r="Q58" s="43">
        <f t="shared" si="42"/>
        <v>1553067.1760280484</v>
      </c>
    </row>
    <row r="59" spans="2:17" ht="13.5" thickTop="1" x14ac:dyDescent="0.2">
      <c r="C59" s="28">
        <f t="shared" ref="C59:E59" si="43">C58-C24</f>
        <v>0</v>
      </c>
      <c r="D59" s="28">
        <f t="shared" si="43"/>
        <v>0</v>
      </c>
      <c r="E59" s="28">
        <f t="shared" si="43"/>
        <v>0</v>
      </c>
      <c r="F59" s="28">
        <f t="shared" ref="F59:K59" si="44">F58-F24</f>
        <v>-7.4377719545736909E-2</v>
      </c>
      <c r="G59" s="28">
        <f t="shared" si="44"/>
        <v>0</v>
      </c>
      <c r="H59" s="28">
        <f t="shared" si="44"/>
        <v>-0.10168382129631937</v>
      </c>
      <c r="I59" s="28">
        <f t="shared" si="44"/>
        <v>3.5768700763583183E-4</v>
      </c>
      <c r="J59" s="28">
        <f t="shared" si="44"/>
        <v>0</v>
      </c>
      <c r="K59" s="28">
        <f t="shared" si="44"/>
        <v>-0.10388465388678014</v>
      </c>
      <c r="L59" s="28">
        <f t="shared" ref="L59:M59" si="45">L58-L24</f>
        <v>-6.3991360366344452E-4</v>
      </c>
      <c r="M59" s="28">
        <f t="shared" si="45"/>
        <v>7.1166828274726868E-4</v>
      </c>
      <c r="N59" s="28">
        <f t="shared" ref="N59:O59" si="46">N58-N24</f>
        <v>-1.3459660112857819E-4</v>
      </c>
      <c r="O59" s="28">
        <f t="shared" si="46"/>
        <v>1.9588600844144821E-4</v>
      </c>
      <c r="P59" s="28">
        <f t="shared" ref="P59:Q59" si="47">P58-P24</f>
        <v>2.1462002769112587E-4</v>
      </c>
      <c r="Q59" s="28">
        <f t="shared" si="47"/>
        <v>4.0902849286794662E-4</v>
      </c>
    </row>
    <row r="60" spans="2:17" x14ac:dyDescent="0.2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2:17" x14ac:dyDescent="0.2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x14ac:dyDescent="0.2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4" spans="2:17" x14ac:dyDescent="0.2">
      <c r="H64" s="209"/>
      <c r="J64" s="2"/>
    </row>
    <row r="65" spans="3:17" x14ac:dyDescent="0.2">
      <c r="C65" s="28"/>
      <c r="H65" s="28"/>
      <c r="J65" s="223"/>
      <c r="N65" s="223"/>
      <c r="O65" s="223"/>
      <c r="P65" s="223"/>
      <c r="Q65" s="223"/>
    </row>
  </sheetData>
  <pageMargins left="0.7" right="0.7" top="0.75" bottom="0.75" header="0.3" footer="0.3"/>
  <pageSetup orientation="portrait" horizontalDpi="1200" verticalDpi="1200" r:id="rId1"/>
  <ignoredErrors>
    <ignoredError sqref="G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T85"/>
  <sheetViews>
    <sheetView showGridLines="0" workbookViewId="0">
      <pane xSplit="2" ySplit="2" topLeftCell="C66" activePane="bottomRight" state="frozen"/>
      <selection pane="topRight" activeCell="B7" sqref="B7"/>
      <selection pane="bottomLeft" activeCell="B7" sqref="B7"/>
      <selection pane="bottomRight" activeCell="Q73" sqref="Q73"/>
    </sheetView>
  </sheetViews>
  <sheetFormatPr defaultColWidth="9.140625" defaultRowHeight="12.75" x14ac:dyDescent="0.2"/>
  <cols>
    <col min="1" max="1" width="4.42578125" style="20" customWidth="1"/>
    <col min="2" max="2" width="57.28515625" style="20" customWidth="1"/>
    <col min="3" max="3" width="10.42578125" style="20" bestFit="1" customWidth="1"/>
    <col min="4" max="5" width="9.28515625" style="20" bestFit="1" customWidth="1"/>
    <col min="6" max="6" width="10.5703125" style="20" bestFit="1" customWidth="1"/>
    <col min="7" max="7" width="9.140625" style="20" customWidth="1"/>
    <col min="8" max="9" width="9.42578125" style="20" bestFit="1" customWidth="1"/>
    <col min="10" max="13" width="10" style="20" bestFit="1" customWidth="1"/>
    <col min="14" max="16" width="10" style="20" customWidth="1"/>
    <col min="17" max="17" width="10" style="20" bestFit="1" customWidth="1"/>
    <col min="18" max="16384" width="9.140625" style="20"/>
  </cols>
  <sheetData>
    <row r="1" spans="1:17" x14ac:dyDescent="0.2">
      <c r="A1" s="162">
        <f>'2024 IR Data Book'!$A$5</f>
        <v>0.27228666339922669</v>
      </c>
    </row>
    <row r="2" spans="1:17" x14ac:dyDescent="0.2">
      <c r="B2" s="46" t="s">
        <v>131</v>
      </c>
      <c r="C2" s="130" t="s">
        <v>22</v>
      </c>
      <c r="D2" s="128" t="s">
        <v>23</v>
      </c>
      <c r="E2" s="130" t="s">
        <v>24</v>
      </c>
      <c r="F2" s="130" t="s">
        <v>25</v>
      </c>
      <c r="G2" s="130" t="s">
        <v>27</v>
      </c>
      <c r="H2" s="128" t="s">
        <v>28</v>
      </c>
      <c r="I2" s="128" t="s">
        <v>29</v>
      </c>
      <c r="J2" s="128" t="s">
        <v>30</v>
      </c>
      <c r="K2" s="128" t="s">
        <v>32</v>
      </c>
      <c r="L2" s="128" t="s">
        <v>33</v>
      </c>
      <c r="M2" s="128" t="s">
        <v>34</v>
      </c>
      <c r="N2" s="128" t="s">
        <v>35</v>
      </c>
      <c r="O2" s="128" t="s">
        <v>37</v>
      </c>
      <c r="P2" s="128" t="s">
        <v>332</v>
      </c>
      <c r="Q2" s="128" t="s">
        <v>342</v>
      </c>
    </row>
    <row r="3" spans="1:17" x14ac:dyDescent="0.2">
      <c r="B3" s="47" t="s">
        <v>132</v>
      </c>
      <c r="C3" s="63">
        <f>69097*('2024 IR Data Book'!$A$5)</f>
        <v>18814.191580896368</v>
      </c>
      <c r="D3" s="63">
        <f>159318*('2024 IR Data Book'!$A$5)</f>
        <v>43380.166639438001</v>
      </c>
      <c r="E3" s="63">
        <f>215127*('2024 IR Data Book'!$A$5)</f>
        <v>58576.213037085443</v>
      </c>
      <c r="F3" s="63">
        <f>262224*('2024 IR Data Book'!$A$5)</f>
        <v>71400.098023198821</v>
      </c>
      <c r="G3" s="63">
        <f>66712.9745935493*('2024 IR Data Book'!$A$5)</f>
        <v>18165.053257514919</v>
      </c>
      <c r="H3" s="63">
        <f>120074*('2024 IR Data Book'!$A$5)</f>
        <v>32694.548820998745</v>
      </c>
      <c r="I3" s="63">
        <f>156381.225085283*(('2024 IR Data Book'!$A$5))</f>
        <v>42580.521996755153</v>
      </c>
      <c r="J3" s="63">
        <f>186693*(('2024 IR Data Book'!$A$5))</f>
        <v>50834.014049991827</v>
      </c>
      <c r="K3" s="63">
        <f>35460*(('2024 IR Data Book'!$A$5))</f>
        <v>9655.285084136578</v>
      </c>
      <c r="L3" s="63">
        <f>59454.7991793601*((('2024 IR Data Book'!$A$5)))</f>
        <v>16188.748891619043</v>
      </c>
      <c r="M3" s="63">
        <f>74802.4160019296*((('2024 IR Data Book'!$A$5)))</f>
        <v>20367.700267366334</v>
      </c>
      <c r="N3" s="63">
        <f>'[7]C.F Final as Financials'!$C$9*((('2024 IR Data Book'!$A$5)))</f>
        <v>41509.549141936273</v>
      </c>
      <c r="O3" s="63">
        <f>'[8]C.F Final as Financials'!$C$9*((('2024 IR Data Book'!$A$5)))</f>
        <v>17090.405215698451</v>
      </c>
      <c r="P3" s="63">
        <f>'[9]C.F Final as Financials'!$C$9*((('2024 IR Data Book'!$A$5)))</f>
        <v>22062.480803672501</v>
      </c>
      <c r="Q3" s="63">
        <f>'[10]C.F Final as Financials'!$C$9*((('2024 IR Data Book'!$A$5)))</f>
        <v>32526.689242512362</v>
      </c>
    </row>
    <row r="4" spans="1:17" x14ac:dyDescent="0.2">
      <c r="B4" s="48" t="s">
        <v>133</v>
      </c>
      <c r="C4" s="63">
        <f>6880*('2024 IR Data Book'!$A$5)</f>
        <v>1873.3322441866796</v>
      </c>
      <c r="D4" s="63">
        <f>13094*('2024 IR Data Book'!$A$5)</f>
        <v>3565.3215705494745</v>
      </c>
      <c r="E4" s="63">
        <f>50222*('2024 IR Data Book'!$A$5)</f>
        <v>13674.780809235963</v>
      </c>
      <c r="F4" s="63">
        <f>49544*('2024 IR Data Book'!$A$5)</f>
        <v>13490.170451451288</v>
      </c>
      <c r="G4" s="63">
        <f>832*('2024 IR Data Book'!$A$5)</f>
        <v>226.54250394815659</v>
      </c>
      <c r="H4" s="63">
        <f>835*('2024 IR Data Book'!$A$5)</f>
        <v>227.35936393835428</v>
      </c>
      <c r="I4" s="63">
        <f>3625.53123332726*(('2024 IR Data Book'!$A$5))</f>
        <v>987.18380257236288</v>
      </c>
      <c r="J4" s="63">
        <f>4468*(('2024 IR Data Book'!$A$5))</f>
        <v>1216.5768120677449</v>
      </c>
      <c r="K4" s="63">
        <f>-378*(('2024 IR Data Book'!$A$5))</f>
        <v>-102.92435876490769</v>
      </c>
      <c r="L4" s="63">
        <f>-934.725333492155*((('2024 IR Data Book'!$A$5)))</f>
        <v>-254.51324225130833</v>
      </c>
      <c r="M4" s="63">
        <f>-1303.91316605051*((('2024 IR Data Book'!$A$5)))</f>
        <v>-355.03816534621518</v>
      </c>
      <c r="N4" s="63">
        <f>'[7]C.F Final as Financials'!$C$10*((('2024 IR Data Book'!$A$5)))</f>
        <v>-394.77269027772127</v>
      </c>
      <c r="O4" s="63">
        <f>'[8]C.F Final as Financials'!$C$10*((('2024 IR Data Book'!$A$5)))</f>
        <v>-85.998223150684922</v>
      </c>
      <c r="P4" s="63">
        <f>'[9]C.F Final as Financials'!$C$10*((('2024 IR Data Book'!$A$5)))</f>
        <v>-166.8834104964298</v>
      </c>
      <c r="Q4" s="63">
        <f>'[10]C.F Final as Financials'!$C$10*((('2024 IR Data Book'!$A$5)))</f>
        <v>-227.62032871560774</v>
      </c>
    </row>
    <row r="5" spans="1:17" ht="15" x14ac:dyDescent="0.2">
      <c r="B5" s="49" t="s">
        <v>134</v>
      </c>
      <c r="C5" s="64">
        <f t="shared" ref="C5:H5" si="0">SUM(C3:C4)</f>
        <v>20687.523825083048</v>
      </c>
      <c r="D5" s="64">
        <f t="shared" si="0"/>
        <v>46945.488209987474</v>
      </c>
      <c r="E5" s="64">
        <f t="shared" si="0"/>
        <v>72250.993846321406</v>
      </c>
      <c r="F5" s="64">
        <f t="shared" si="0"/>
        <v>84890.268474650104</v>
      </c>
      <c r="G5" s="64">
        <f t="shared" si="0"/>
        <v>18391.595761463075</v>
      </c>
      <c r="H5" s="64">
        <f t="shared" si="0"/>
        <v>32921.9081849371</v>
      </c>
      <c r="I5" s="64">
        <f t="shared" ref="I5:J5" si="1">SUM(I3:I4)</f>
        <v>43567.705799327516</v>
      </c>
      <c r="J5" s="64">
        <f t="shared" si="1"/>
        <v>52050.590862059573</v>
      </c>
      <c r="K5" s="64">
        <f t="shared" ref="K5:L5" si="2">SUM(K3:K4)</f>
        <v>9552.3607253716709</v>
      </c>
      <c r="L5" s="64">
        <f t="shared" si="2"/>
        <v>15934.235649367734</v>
      </c>
      <c r="M5" s="64">
        <f t="shared" ref="M5:N5" si="3">SUM(M3:M4)</f>
        <v>20012.66210202012</v>
      </c>
      <c r="N5" s="64">
        <f t="shared" si="3"/>
        <v>41114.776451658552</v>
      </c>
      <c r="O5" s="64">
        <f t="shared" ref="O5:P5" si="4">SUM(O3:O4)</f>
        <v>17004.406992547767</v>
      </c>
      <c r="P5" s="64">
        <f t="shared" si="4"/>
        <v>21895.597393176071</v>
      </c>
      <c r="Q5" s="64">
        <f t="shared" ref="Q5" si="5">SUM(Q3:Q4)</f>
        <v>32299.068913796753</v>
      </c>
    </row>
    <row r="6" spans="1:17" x14ac:dyDescent="0.2">
      <c r="B6" s="4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x14ac:dyDescent="0.2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x14ac:dyDescent="0.2">
      <c r="B8" s="49" t="s">
        <v>135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x14ac:dyDescent="0.2">
      <c r="B9" s="50" t="s">
        <v>136</v>
      </c>
      <c r="C9" s="63">
        <f>30571*('2024 IR Data Book'!$A$5)</f>
        <v>8324.0755867777589</v>
      </c>
      <c r="D9" s="63">
        <f>61677*('2024 IR Data Book'!$A$5)</f>
        <v>16793.824538474106</v>
      </c>
      <c r="E9" s="63">
        <f>85002*('2024 IR Data Book'!$A$5)</f>
        <v>23144.910962261067</v>
      </c>
      <c r="F9" s="63">
        <f>111307*('2024 IR Data Book'!$A$5)</f>
        <v>30307.411642977724</v>
      </c>
      <c r="G9" s="63">
        <f>27620*('2024 IR Data Book'!$A$5)</f>
        <v>7520.5576430866413</v>
      </c>
      <c r="H9" s="63">
        <f>55985*('2024 IR Data Book'!$A$5)</f>
        <v>15243.968850405707</v>
      </c>
      <c r="I9" s="63">
        <f>84910.4747890224*(('2024 IR Data Book'!$A$5))</f>
        <v>23119.989867947064</v>
      </c>
      <c r="J9" s="63">
        <f>116718*(('2024 IR Data Book'!$A$5))</f>
        <v>31780.754778630941</v>
      </c>
      <c r="K9" s="63">
        <f>27880*(('2024 IR Data Book'!$A$5))</f>
        <v>7591.3521755704405</v>
      </c>
      <c r="L9" s="63">
        <f>56012.0422289981*((('2024 IR Data Book'!$A$5)))</f>
        <v>15251.332088710476</v>
      </c>
      <c r="M9" s="63">
        <f>84328.5400628878*((('2024 IR Data Book'!$A$5)))</f>
        <v>22961.536803051731</v>
      </c>
      <c r="N9" s="63">
        <f>'[7]C.F Final as Financials'!$C$14*((('2024 IR Data Book'!$A$5)))</f>
        <v>30937.625956386484</v>
      </c>
      <c r="O9" s="63">
        <f>'[8]C.F Final as Financials'!$C$14*((('2024 IR Data Book'!$A$5)))</f>
        <v>7785.2889158888938</v>
      </c>
      <c r="P9" s="63">
        <f>'[9]C.F Final as Financials'!$C$14*((('2024 IR Data Book'!$A$5)))</f>
        <v>15497.004303850819</v>
      </c>
      <c r="Q9" s="63">
        <f>'[10]C.F Final as Financials'!$C$14*((('2024 IR Data Book'!$A$5)))</f>
        <v>23396.778689047282</v>
      </c>
    </row>
    <row r="10" spans="1:17" x14ac:dyDescent="0.2">
      <c r="B10" s="50" t="s">
        <v>137</v>
      </c>
      <c r="C10" s="63">
        <f>64487*('2024 IR Data Book'!$A$5)</f>
        <v>17558.950062625932</v>
      </c>
      <c r="D10" s="63">
        <f>131046*('2024 IR Data Book'!$A$5)</f>
        <v>35682.078091815063</v>
      </c>
      <c r="E10" s="63">
        <f>191720*('2024 IR Data Book'!$A$5)</f>
        <v>52202.799106899743</v>
      </c>
      <c r="F10" s="63">
        <f>254551*('2024 IR Data Book'!$A$5)</f>
        <v>69310.842454936559</v>
      </c>
      <c r="G10" s="63">
        <f>66011*('2024 IR Data Book'!$A$5)</f>
        <v>17973.914937646354</v>
      </c>
      <c r="H10" s="63">
        <f>129606*('2024 IR Data Book'!$A$5)</f>
        <v>35289.985296520172</v>
      </c>
      <c r="I10" s="63">
        <f>190683.705115401*(('2024 IR Data Book'!$A$5))</f>
        <v>51920.629830474594</v>
      </c>
      <c r="J10" s="63">
        <f>248908*(('2024 IR Data Book'!$A$5))</f>
        <v>67774.328813374712</v>
      </c>
      <c r="K10" s="63">
        <f>59381*(('2024 IR Data Book'!$A$5))</f>
        <v>16168.654359309479</v>
      </c>
      <c r="L10" s="63">
        <f>118906.009556178*((('2024 IR Data Book'!$A$5)))</f>
        <v>32376.520600168271</v>
      </c>
      <c r="M10" s="63">
        <f>176832.429751309*((('2024 IR Data Book'!$A$5)))</f>
        <v>48149.112277762077</v>
      </c>
      <c r="N10" s="63">
        <f>'[7]C.F Final as Financials'!$C$15*((('2024 IR Data Book'!$A$5)))</f>
        <v>64219.417575764892</v>
      </c>
      <c r="O10" s="63">
        <f>'[8]C.F Final as Financials'!$C$15*((('2024 IR Data Book'!$A$5)))</f>
        <v>15572.752620354651</v>
      </c>
      <c r="P10" s="63">
        <f>'[9]C.F Final as Financials'!$C$15*((('2024 IR Data Book'!$A$5)))</f>
        <v>30983.533184534135</v>
      </c>
      <c r="Q10" s="63">
        <f>'[10]C.F Final as Financials'!$C$15*((('2024 IR Data Book'!$A$5)))</f>
        <v>46391.119992907748</v>
      </c>
    </row>
    <row r="11" spans="1:17" x14ac:dyDescent="0.2">
      <c r="B11" s="50" t="s">
        <v>138</v>
      </c>
      <c r="C11" s="63">
        <f>2222*('2024 IR Data Book'!$A$5)</f>
        <v>605.02096607308169</v>
      </c>
      <c r="D11" s="63">
        <f>4442*('2024 IR Data Book'!$A$5)</f>
        <v>1209.497358819365</v>
      </c>
      <c r="E11" s="63">
        <f>4371*('2024 IR Data Book'!$A$5)</f>
        <v>1190.1650057180198</v>
      </c>
      <c r="F11" s="63">
        <f>5064*('2024 IR Data Book'!$A$5)</f>
        <v>1378.8596634536839</v>
      </c>
      <c r="G11" s="63">
        <f>692*('2024 IR Data Book'!$A$5)</f>
        <v>188.42237107226487</v>
      </c>
      <c r="H11" s="63">
        <f>1383*('2024 IR Data Book'!$A$5)</f>
        <v>376.57245548113053</v>
      </c>
      <c r="I11" s="63">
        <f>2071.70134298803*(('2024 IR Data Book'!$A$5))</f>
        <v>564.09664624190759</v>
      </c>
      <c r="J11" s="63">
        <f>5008.2679770988*(('2024 IR Data Book'!$A$5))</f>
        <v>1363.6845768934268</v>
      </c>
      <c r="K11" s="63">
        <f>3398*(('2024 IR Data Book'!$A$5))</f>
        <v>925.23008223057229</v>
      </c>
      <c r="L11" s="63">
        <f>6784.06975706258*((('2024 IR Data Book'!$A$5)))</f>
        <v>1847.2117184181723</v>
      </c>
      <c r="M11" s="63">
        <f>10170.6403916565*((('2024 IR Data Book'!$A$5)))</f>
        <v>2769.3297368775525</v>
      </c>
      <c r="N11" s="63">
        <f>'[7]C.F Final as Financials'!$C$16*((('2024 IR Data Book'!$A$5)))</f>
        <v>3692.9381219909501</v>
      </c>
      <c r="O11" s="63">
        <f>'[8]C.F Final as Financials'!$C$16*((('2024 IR Data Book'!$A$5)))</f>
        <v>945.32179185560949</v>
      </c>
      <c r="P11" s="63">
        <f>'[9]C.F Final as Financials'!$C$16*((('2024 IR Data Book'!$A$5)))</f>
        <v>1908.6255346307642</v>
      </c>
      <c r="Q11" s="63">
        <f>'[10]C.F Final as Financials'!$C$16*((('2024 IR Data Book'!$A$5)))</f>
        <v>2872.4632657508409</v>
      </c>
    </row>
    <row r="12" spans="1:17" x14ac:dyDescent="0.2">
      <c r="B12" s="50" t="s">
        <v>139</v>
      </c>
      <c r="C12" s="63">
        <f>8206*('2024 IR Data Book'!$A$5)</f>
        <v>2234.3843598540543</v>
      </c>
      <c r="D12" s="63">
        <f>22690*('2024 IR Data Book'!$A$5)</f>
        <v>6178.1843925284538</v>
      </c>
      <c r="E12" s="63">
        <f>26981*('2024 IR Data Book'!$A$5)</f>
        <v>7346.5664651745356</v>
      </c>
      <c r="F12" s="63">
        <f>33813*('2024 IR Data Book'!$A$5)</f>
        <v>9206.8289495180525</v>
      </c>
      <c r="G12" s="63">
        <f>6035*('2024 IR Data Book'!$A$5)</f>
        <v>1643.2500136143331</v>
      </c>
      <c r="H12" s="63">
        <f>17071*('2024 IR Data Book'!$A$5)</f>
        <v>4648.2056308881993</v>
      </c>
      <c r="I12" s="63">
        <f>25399.0220645702*(('2024 IR Data Book'!$A$5))</f>
        <v>6915.814971565158</v>
      </c>
      <c r="J12" s="63">
        <f>35066.073473054*(('2024 IR Data Book'!$A$5))</f>
        <v>9548.0241444900057</v>
      </c>
      <c r="K12" s="63">
        <f>6861*(('2024 IR Data Book'!$A$5))</f>
        <v>1868.1587975820944</v>
      </c>
      <c r="L12" s="63">
        <f>14902.9169305832*((('2024 IR Data Book'!$A$5)))</f>
        <v>4057.8655259443444</v>
      </c>
      <c r="M12" s="63">
        <f>25008.3429843385*((('2024 IR Data Book'!$A$5)))</f>
        <v>6809.4382683489894</v>
      </c>
      <c r="N12" s="63">
        <f>'[7]C.F Final as Financials'!$C$17*((('2024 IR Data Book'!$A$5)))</f>
        <v>9191.8007327848572</v>
      </c>
      <c r="O12" s="63">
        <f>'[8]C.F Final as Financials'!$C$17*((('2024 IR Data Book'!$A$5)))</f>
        <v>3119.2497763330434</v>
      </c>
      <c r="P12" s="63">
        <f>'[9]C.F Final as Financials'!$C$17*((('2024 IR Data Book'!$A$5)))</f>
        <v>5271.0117025673071</v>
      </c>
      <c r="Q12" s="63">
        <f>'[10]C.F Final as Financials'!$C$17*((('2024 IR Data Book'!$A$5)))</f>
        <v>9620.2118920817338</v>
      </c>
    </row>
    <row r="13" spans="1:17" x14ac:dyDescent="0.2">
      <c r="B13" s="50" t="s">
        <v>140</v>
      </c>
      <c r="C13" s="63">
        <f>3787*('2024 IR Data Book'!$A$5)</f>
        <v>1031.1495942928714</v>
      </c>
      <c r="D13" s="63">
        <f>13626*('2024 IR Data Book'!$A$5)</f>
        <v>3710.1780754778629</v>
      </c>
      <c r="E13" s="63">
        <f>17804*('2024 IR Data Book'!$A$5)</f>
        <v>4847.7917551598321</v>
      </c>
      <c r="F13" s="63">
        <f>15760*('2024 IR Data Book'!$A$5)</f>
        <v>4291.2378151718131</v>
      </c>
      <c r="G13" s="63">
        <f>4942*('2024 IR Data Book'!$A$5)</f>
        <v>1345.6406905189783</v>
      </c>
      <c r="H13" s="63">
        <f>9760*('2024 IR Data Book'!$A$5)</f>
        <v>2657.5178347764527</v>
      </c>
      <c r="I13" s="63">
        <f>13128.1258975919*(('2024 IR Data Book'!$A$5))</f>
        <v>3574.6135973402766</v>
      </c>
      <c r="J13" s="63">
        <f>15493.0549690409*(('2024 IR Data Book'!$A$5))</f>
        <v>4218.5522433809565</v>
      </c>
      <c r="K13" s="63">
        <f>13019*(('2024 IR Data Book'!$A$5))</f>
        <v>3544.9000707945324</v>
      </c>
      <c r="L13" s="63">
        <f>13725.9425735088*((('2024 IR Data Book'!$A$5)))</f>
        <v>3737.391105350106</v>
      </c>
      <c r="M13" s="63">
        <f>16152.9508360513*((('2024 IR Data Book'!$A$5)))</f>
        <v>4398.2330872001576</v>
      </c>
      <c r="N13" s="63">
        <f>'[7]C.F Final as Financials'!$C$18*((('2024 IR Data Book'!$A$5)))</f>
        <v>5488.6808557326794</v>
      </c>
      <c r="O13" s="63">
        <f>'[8]C.F Final as Financials'!$C$18*((('2024 IR Data Book'!$A$5)))</f>
        <v>1620.2207727944963</v>
      </c>
      <c r="P13" s="63">
        <f>'[9]C.F Final as Financials'!$C$18*((('2024 IR Data Book'!$A$5)))</f>
        <v>2835.7101946143466</v>
      </c>
      <c r="Q13" s="63">
        <f>'[10]C.F Final as Financials'!$C$18*((('2024 IR Data Book'!$A$5)))</f>
        <v>3357.9591590526829</v>
      </c>
    </row>
    <row r="14" spans="1:17" x14ac:dyDescent="0.2">
      <c r="B14" s="50" t="s">
        <v>141</v>
      </c>
      <c r="C14" s="63">
        <f>1295*('2024 IR Data Book'!$A$5)</f>
        <v>352.61122910199856</v>
      </c>
      <c r="D14" s="63">
        <f>3502*('2024 IR Data Book'!$A$5)</f>
        <v>953.54789522409192</v>
      </c>
      <c r="E14" s="63">
        <f>(10624-5047)*('2024 IR Data Book'!$A$5)</f>
        <v>1518.5427217774873</v>
      </c>
      <c r="F14" s="63">
        <f>6906*('2024 IR Data Book'!$A$5)</f>
        <v>1880.4116974350595</v>
      </c>
      <c r="G14" s="63">
        <f>1523*('2024 IR Data Book'!$A$5)</f>
        <v>414.69258835702226</v>
      </c>
      <c r="H14" s="63">
        <f>3532*('2024 IR Data Book'!$A$5)</f>
        <v>961.71649512606871</v>
      </c>
      <c r="I14" s="63">
        <f>7151.95334604811*(('2024 IR Data Book'!$A$5))</f>
        <v>1947.3815133823748</v>
      </c>
      <c r="J14" s="63">
        <f>21497.4551751129*(('2024 IR Data Book'!$A$5))</f>
        <v>5853.4703412059298</v>
      </c>
      <c r="K14" s="63">
        <f>(18787-2436)*(('2024 IR Data Book'!$A$5))</f>
        <v>4452.1592332407554</v>
      </c>
      <c r="L14" s="63">
        <f>34561.6140347325*((('2024 IR Data Book'!$A$5)))</f>
        <v>9410.6665672091967</v>
      </c>
      <c r="M14" s="63">
        <f>53425.8228579785*((('2024 IR Data Book'!$A$5)))</f>
        <v>14547.139045357102</v>
      </c>
      <c r="N14" s="63">
        <f>'[7]C.F Final as Financials'!$C$19*((('2024 IR Data Book'!$A$5)))</f>
        <v>19166.114414586165</v>
      </c>
      <c r="O14" s="63">
        <f>'[8]C.F Final as Financials'!$C$19*((('2024 IR Data Book'!$A$5)))</f>
        <v>4783.9293923294026</v>
      </c>
      <c r="P14" s="63">
        <f>'[9]C.F Final as Financials'!$C$19*((('2024 IR Data Book'!$A$5)))</f>
        <v>9191.9724902012349</v>
      </c>
      <c r="Q14" s="63">
        <f>'[10]C.F Final as Financials'!$C$19*((('2024 IR Data Book'!$A$5)))</f>
        <v>13467.487503108989</v>
      </c>
    </row>
    <row r="15" spans="1:17" x14ac:dyDescent="0.2">
      <c r="B15" s="50" t="s">
        <v>142</v>
      </c>
      <c r="C15" s="63">
        <f>12450*('2024 IR Data Book'!$A$5)</f>
        <v>3389.9689593203725</v>
      </c>
      <c r="D15" s="63">
        <f>24823*('2024 IR Data Book'!$A$5)</f>
        <v>6758.9718455590046</v>
      </c>
      <c r="E15" s="63">
        <f>35784*('2024 IR Data Book'!$A$5)</f>
        <v>9743.5059630779288</v>
      </c>
      <c r="F15" s="63">
        <f>47106*('2024 IR Data Book'!$A$5)</f>
        <v>12826.335566083973</v>
      </c>
      <c r="G15" s="63">
        <f>10353*('2024 IR Data Book'!$A$5)</f>
        <v>2818.9838261721939</v>
      </c>
      <c r="H15" s="63">
        <f>22724*('2024 IR Data Book'!$A$5)</f>
        <v>6187.4421390840271</v>
      </c>
      <c r="I15" s="63">
        <f>34714.0856193912*(('2024 IR Data Book'!$A$5))</f>
        <v>9452.1825462591059</v>
      </c>
      <c r="J15" s="63">
        <f>46504.5748904509*(('2024 IR Data Book'!$A$5))</f>
        <v>12662.575529720334</v>
      </c>
      <c r="K15" s="63">
        <f>11734*(('2024 IR Data Book'!$A$5))</f>
        <v>3195.0117083265259</v>
      </c>
      <c r="L15" s="63">
        <f>24305.8386138711*((('2024 IR Data Book'!$A$5)))</f>
        <v>6618.1556972910466</v>
      </c>
      <c r="M15" s="63">
        <f>36677.4558981637*((('2024 IR Data Book'!$A$5)))</f>
        <v>9986.7820884832818</v>
      </c>
      <c r="N15" s="63">
        <f>'[7]C.F Final as Financials'!$C$20*((('2024 IR Data Book'!$A$5)))</f>
        <v>13500.638263428033</v>
      </c>
      <c r="O15" s="63">
        <f>'[8]C.F Final as Financials'!$C$20*((('2024 IR Data Book'!$A$5)))</f>
        <v>3484.1491806429676</v>
      </c>
      <c r="P15" s="63">
        <f>'[9]C.F Final as Financials'!$C$20*((('2024 IR Data Book'!$A$5)))</f>
        <v>6958.5712684547825</v>
      </c>
      <c r="Q15" s="63">
        <f>'[10]C.F Final as Financials'!$C$20*((('2024 IR Data Book'!$A$5)))</f>
        <v>10564.461680108025</v>
      </c>
    </row>
    <row r="16" spans="1:17" x14ac:dyDescent="0.2">
      <c r="B16" s="50" t="s">
        <v>143</v>
      </c>
      <c r="C16" s="63">
        <f>-2685*('2024 IR Data Book'!$A$5)</f>
        <v>-731.08969122692372</v>
      </c>
      <c r="D16" s="63">
        <f>-7293*('2024 IR Data Book'!$A$5)</f>
        <v>-1985.7866361705603</v>
      </c>
      <c r="E16" s="63">
        <f>-9205*('2024 IR Data Book'!$A$5)</f>
        <v>-2506.3987365898815</v>
      </c>
      <c r="F16" s="63">
        <f>-10232*('2024 IR Data Book'!$A$5)</f>
        <v>-2786.0371399008877</v>
      </c>
      <c r="G16" s="63">
        <f>-3556*('2024 IR Data Book'!$A$5)</f>
        <v>-968.25137504765007</v>
      </c>
      <c r="H16" s="63">
        <f>-7720*('2024 IR Data Book'!$A$5)</f>
        <v>-2102.05304144203</v>
      </c>
      <c r="I16" s="63">
        <f>-8664.694177561*(('2024 IR Data Book'!$A$5))</f>
        <v>-2359.280666982791</v>
      </c>
      <c r="J16" s="63">
        <f>-9203*(('2024 IR Data Book'!$A$5))</f>
        <v>-2505.8541632630831</v>
      </c>
      <c r="K16" s="63">
        <f>-490*(('2024 IR Data Book'!$A$5))</f>
        <v>-133.42046506562107</v>
      </c>
      <c r="L16" s="63">
        <f>-2456.91341653989*((('2024 IR Data Book'!$A$5)))</f>
        <v>-668.98475645044107</v>
      </c>
      <c r="M16" s="63">
        <f>-4287.90446261206*((('2024 IR Data Book'!$A$5)))</f>
        <v>-1167.5391990992921</v>
      </c>
      <c r="N16" s="63">
        <f>'[7]C.F Final as Financials'!$C$21*((('2024 IR Data Book'!$A$5)))</f>
        <v>-1517.2245357249042</v>
      </c>
      <c r="O16" s="63">
        <f>'[8]C.F Final as Financials'!$C$21*((('2024 IR Data Book'!$A$5)))</f>
        <v>-188.29474231264868</v>
      </c>
      <c r="P16" s="63">
        <f>'[9]C.F Final as Financials'!$C$21*((('2024 IR Data Book'!$A$5)))</f>
        <v>-248.24456139887062</v>
      </c>
      <c r="Q16" s="63">
        <f>'[10]C.F Final as Financials'!$C$21*((('2024 IR Data Book'!$A$5)))</f>
        <v>-39.353332993975698</v>
      </c>
    </row>
    <row r="17" spans="2:20" x14ac:dyDescent="0.2">
      <c r="B17" s="50" t="s">
        <v>144</v>
      </c>
      <c r="C17" s="63">
        <f>0*('2024 IR Data Book'!$A$5)</f>
        <v>0</v>
      </c>
      <c r="D17" s="63">
        <f>0*('2024 IR Data Book'!$A$5)</f>
        <v>0</v>
      </c>
      <c r="E17" s="63">
        <f>0*('2024 IR Data Book'!$A$5)</f>
        <v>0</v>
      </c>
      <c r="F17" s="63">
        <f>2975*('2024 IR Data Book'!$A$5)</f>
        <v>810.0528236126994</v>
      </c>
      <c r="G17" s="63">
        <f>0*('2024 IR Data Book'!$A$5)</f>
        <v>0</v>
      </c>
      <c r="H17" s="63">
        <f>0*('2024 IR Data Book'!$A$5)</f>
        <v>0</v>
      </c>
      <c r="I17" s="63">
        <f>0*(('2024 IR Data Book'!$A$5))</f>
        <v>0</v>
      </c>
      <c r="J17" s="63">
        <f>0*(('2024 IR Data Book'!$A$5))</f>
        <v>0</v>
      </c>
      <c r="K17" s="63">
        <f>0*(('2024 IR Data Book'!$A$5))</f>
        <v>0</v>
      </c>
      <c r="L17" s="63">
        <f>0*((('2024 IR Data Book'!$A$5)))</f>
        <v>0</v>
      </c>
      <c r="M17" s="63">
        <f>0*((('2024 IR Data Book'!$A$5)))</f>
        <v>0</v>
      </c>
      <c r="N17" s="63">
        <f>0*((('2024 IR Data Book'!$A$5)))</f>
        <v>0</v>
      </c>
      <c r="O17" s="63">
        <f>0*((('2024 IR Data Book'!$A$5)))</f>
        <v>0</v>
      </c>
      <c r="P17" s="63">
        <f>0*((('2024 IR Data Book'!$A$5)))</f>
        <v>0</v>
      </c>
      <c r="Q17" s="63">
        <f>0*((('2024 IR Data Book'!$A$5)))</f>
        <v>0</v>
      </c>
    </row>
    <row r="18" spans="2:20" x14ac:dyDescent="0.2">
      <c r="B18" s="50" t="s">
        <v>145</v>
      </c>
      <c r="C18" s="63">
        <f>-1616*('2024 IR Data Book'!$A$5)</f>
        <v>-440.01524805315034</v>
      </c>
      <c r="D18" s="63">
        <f>-1824*('2024 IR Data Book'!$A$5)</f>
        <v>-496.65087404018948</v>
      </c>
      <c r="E18" s="63">
        <f>-1618*('2024 IR Data Book'!$A$5)</f>
        <v>-440.5598213799488</v>
      </c>
      <c r="F18" s="63">
        <f>-413*('2024 IR Data Book'!$A$5)</f>
        <v>-112.45439198388063</v>
      </c>
      <c r="G18" s="63">
        <f>4901*('2024 IR Data Book'!$A$5)</f>
        <v>1334.47693731961</v>
      </c>
      <c r="H18" s="63">
        <f>10897*('2024 IR Data Book'!$A$5)</f>
        <v>2967.1077710613731</v>
      </c>
      <c r="I18" s="63">
        <f>10570.1545938648*(('2024 IR Data Book'!$A$5))</f>
        <v>2878.1121259774545</v>
      </c>
      <c r="J18" s="63">
        <f>12143*(('2024 IR Data Book'!$A$5))</f>
        <v>3306.3769536568097</v>
      </c>
      <c r="K18" s="63">
        <f>171*(('2024 IR Data Book'!$A$5))</f>
        <v>46.561019441267767</v>
      </c>
      <c r="L18" s="63">
        <f>101.235001725067*((('2024 IR Data Book'!$A$5)))</f>
        <v>27.564940838933449</v>
      </c>
      <c r="M18" s="63">
        <f>388.121893335175*((('2024 IR Data Book'!$A$5)))</f>
        <v>105.68041532842535</v>
      </c>
      <c r="N18" s="63">
        <f>'[7]C.F Final as Financials'!$C$23*((('2024 IR Data Book'!$A$5)))</f>
        <v>315.91130826561829</v>
      </c>
      <c r="O18" s="63">
        <f>'[8]C.F Final as Financials'!$C$23*((('2024 IR Data Book'!$A$5)))</f>
        <v>-43.253949675008883</v>
      </c>
      <c r="P18" s="63">
        <f>'[9]C.F Final as Financials'!$C$23*((('2024 IR Data Book'!$A$5)))</f>
        <v>5.8682931002242205</v>
      </c>
      <c r="Q18" s="63">
        <f>'[10]C.F Final as Financials'!$C$23*((('2024 IR Data Book'!$A$5)))</f>
        <v>73.594936172215938</v>
      </c>
    </row>
    <row r="19" spans="2:20" x14ac:dyDescent="0.2">
      <c r="B19" s="50" t="s">
        <v>146</v>
      </c>
      <c r="C19" s="63">
        <f>0*('2024 IR Data Book'!$A$5)</f>
        <v>0</v>
      </c>
      <c r="D19" s="63">
        <f>0*('2024 IR Data Book'!$A$5)</f>
        <v>0</v>
      </c>
      <c r="E19" s="63">
        <f>-31608*('2024 IR Data Book'!$A$5)</f>
        <v>-8606.4368567227575</v>
      </c>
      <c r="F19" s="63">
        <f>-31608*('2024 IR Data Book'!$A$5)</f>
        <v>-8606.4368567227575</v>
      </c>
      <c r="G19" s="63">
        <f>-800*('2024 IR Data Book'!$A$5)</f>
        <v>-217.82933071938135</v>
      </c>
      <c r="H19" s="63">
        <f>-800*('2024 IR Data Book'!$A$5)</f>
        <v>-217.82933071938135</v>
      </c>
      <c r="I19" s="63">
        <f>-2320.954659*(('2024 IR Data Book'!$A$5))</f>
        <v>-631.96499999999992</v>
      </c>
      <c r="J19" s="63">
        <f>-3515*(('2024 IR Data Book'!$A$5))</f>
        <v>-957.08762184828186</v>
      </c>
      <c r="K19" s="63">
        <f>0*(('2024 IR Data Book'!$A$5))</f>
        <v>0</v>
      </c>
      <c r="L19" s="63">
        <f>0*((('2024 IR Data Book'!$A$5)))</f>
        <v>0</v>
      </c>
      <c r="M19" s="63">
        <f>0*((('2024 IR Data Book'!$A$5)))</f>
        <v>0</v>
      </c>
      <c r="N19" s="63">
        <f>'[7]C.F Final as Financials'!$C$24*((('2024 IR Data Book'!$A$5)))</f>
        <v>0</v>
      </c>
      <c r="O19" s="63">
        <f>'[8]C.F Final as Financials'!$C$24*((('2024 IR Data Book'!$A$5)))</f>
        <v>0</v>
      </c>
      <c r="P19" s="63">
        <f>'[9]C.F Final as Financials'!$C$24*((('2024 IR Data Book'!$A$5)))</f>
        <v>0</v>
      </c>
      <c r="Q19" s="63">
        <f>'[10]C.F Final as Financials'!$C$24*((('2024 IR Data Book'!$A$5)))</f>
        <v>0</v>
      </c>
    </row>
    <row r="20" spans="2:20" x14ac:dyDescent="0.2">
      <c r="B20" s="50" t="s">
        <v>147</v>
      </c>
      <c r="C20" s="204">
        <f>0*('2024 IR Data Book'!$A$5)</f>
        <v>0</v>
      </c>
      <c r="D20" s="204">
        <f>0*('2024 IR Data Book'!$A$5)</f>
        <v>0</v>
      </c>
      <c r="E20" s="204">
        <f>0*('2024 IR Data Book'!$A$5)</f>
        <v>0</v>
      </c>
      <c r="F20" s="204">
        <f>-20812*('2024 IR Data Book'!$A$5)</f>
        <v>-5666.8300386647061</v>
      </c>
      <c r="G20" s="204">
        <f>0*('2024 IR Data Book'!$A$5)</f>
        <v>0</v>
      </c>
      <c r="H20" s="204">
        <f>0*('2024 IR Data Book'!$A$5)</f>
        <v>0</v>
      </c>
      <c r="I20" s="204">
        <f>-648*(('2024 IR Data Book'!$A$5))</f>
        <v>-176.44175788269891</v>
      </c>
      <c r="J20" s="204">
        <f>-1291*(('2024 IR Data Book'!$A$5))</f>
        <v>-351.52208244840165</v>
      </c>
      <c r="K20" s="204">
        <f>0*(('2024 IR Data Book'!$A$5))</f>
        <v>0</v>
      </c>
      <c r="L20" s="204">
        <f>0*((('2024 IR Data Book'!$A$5)))</f>
        <v>0</v>
      </c>
      <c r="M20" s="204">
        <f>0*((('2024 IR Data Book'!$A$5)))</f>
        <v>0</v>
      </c>
      <c r="N20" s="204">
        <f>0*((('2024 IR Data Book'!$A$5)))</f>
        <v>0</v>
      </c>
      <c r="O20" s="204">
        <f>0*((('2024 IR Data Book'!$A$5)))</f>
        <v>0</v>
      </c>
      <c r="P20" s="204">
        <f>0*((('2024 IR Data Book'!$A$5)))</f>
        <v>0</v>
      </c>
      <c r="Q20" s="204">
        <f>0*((('2024 IR Data Book'!$A$5)))</f>
        <v>0</v>
      </c>
    </row>
    <row r="21" spans="2:20" x14ac:dyDescent="0.2">
      <c r="B21" s="50" t="s">
        <v>148</v>
      </c>
      <c r="C21" s="204"/>
      <c r="D21" s="204"/>
      <c r="E21" s="204"/>
      <c r="F21" s="204"/>
      <c r="G21" s="204"/>
      <c r="H21" s="204"/>
      <c r="I21" s="204"/>
      <c r="J21" s="204">
        <f>-754*(('2024 IR Data Book'!$A$5))</f>
        <v>-205.30414420301693</v>
      </c>
      <c r="K21" s="204">
        <f>-65*(('2024 IR Data Book'!$A$5))</f>
        <v>-17.698633120949737</v>
      </c>
      <c r="L21" s="204">
        <f>-676.2578736*((('2024 IR Data Book'!$A$5)))</f>
        <v>-184.136</v>
      </c>
      <c r="M21" s="204">
        <f>-939.873429*((('2024 IR Data Book'!$A$5)))</f>
        <v>-255.91499999999999</v>
      </c>
      <c r="N21" s="204">
        <f>'[7]C.F Final as Financials'!$C$25*((('2024 IR Data Book'!$A$5)))</f>
        <v>-339.53</v>
      </c>
      <c r="O21" s="204">
        <f>'[8]C.F Final as Financials'!$C$25*((('2024 IR Data Book'!$A$5)))</f>
        <v>-36.977999999999994</v>
      </c>
      <c r="P21" s="204">
        <f>'[9]C.F Final as Financials'!$C$25*((('2024 IR Data Book'!$A$5)))</f>
        <v>-156.00899999999999</v>
      </c>
      <c r="Q21" s="204">
        <f>'[10]C.F Final as Financials'!$C$25*((('2024 IR Data Book'!$A$5)))</f>
        <v>-162.249</v>
      </c>
    </row>
    <row r="22" spans="2:20" hidden="1" x14ac:dyDescent="0.2">
      <c r="B22" s="50" t="s">
        <v>149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>
        <f>'[7]C.F Final as Financials'!$C$26*((('2024 IR Data Book'!$A$5)))</f>
        <v>0</v>
      </c>
      <c r="O22" s="204">
        <f>'[8]C.F Final as Financials'!$C$26*((('2024 IR Data Book'!$A$5)))</f>
        <v>0</v>
      </c>
      <c r="P22" s="204">
        <f>'[9]C.F Final as Financials'!$C$26*((('2024 IR Data Book'!$A$5)))</f>
        <v>0</v>
      </c>
      <c r="Q22" s="204">
        <f>'[10]C.F Final as Financials'!$C$26*((('2024 IR Data Book'!$A$5)))</f>
        <v>0</v>
      </c>
    </row>
    <row r="23" spans="2:20" ht="15" x14ac:dyDescent="0.2">
      <c r="B23" s="50"/>
      <c r="C23" s="64">
        <f t="shared" ref="C23:I23" si="6">SUM(C5:C20)</f>
        <v>53012.579643849051</v>
      </c>
      <c r="D23" s="64">
        <f t="shared" si="6"/>
        <v>115749.33289767466</v>
      </c>
      <c r="E23" s="64">
        <f t="shared" si="6"/>
        <v>160691.88041169744</v>
      </c>
      <c r="F23" s="64">
        <f t="shared" si="6"/>
        <v>197730.49066056736</v>
      </c>
      <c r="G23" s="64">
        <f t="shared" si="6"/>
        <v>50445.454063483448</v>
      </c>
      <c r="H23" s="64">
        <f t="shared" si="6"/>
        <v>98934.542286118813</v>
      </c>
      <c r="I23" s="64">
        <f t="shared" si="6"/>
        <v>140772.83947364995</v>
      </c>
      <c r="J23" s="64">
        <f>SUM(J5:J21)</f>
        <v>184538.5902316499</v>
      </c>
      <c r="K23" s="64">
        <f>SUM(K5:K21)</f>
        <v>47193.269073680764</v>
      </c>
      <c r="L23" s="64">
        <f>SUM(L5:L21)</f>
        <v>88407.82313684783</v>
      </c>
      <c r="M23" s="64">
        <f>SUM(M5:M21)</f>
        <v>128316.45962533017</v>
      </c>
      <c r="N23" s="64">
        <f>SUM(N5:N22)</f>
        <v>185771.14914487328</v>
      </c>
      <c r="O23" s="64">
        <f>SUM(O5:O22)</f>
        <v>54046.792750759181</v>
      </c>
      <c r="P23" s="64">
        <f>SUM(P5:P22)</f>
        <v>94143.640803730814</v>
      </c>
      <c r="Q23" s="64">
        <f>SUM(Q5:Q22)</f>
        <v>141841.54369903225</v>
      </c>
    </row>
    <row r="24" spans="2:20" x14ac:dyDescent="0.2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2:20" x14ac:dyDescent="0.2">
      <c r="B25" s="49" t="s">
        <v>150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2:20" x14ac:dyDescent="0.2">
      <c r="B26" s="50" t="s">
        <v>151</v>
      </c>
      <c r="C26" s="63">
        <f>16527*('2024 IR Data Book'!$A$5)</f>
        <v>4500.0816859990191</v>
      </c>
      <c r="D26" s="63">
        <f>-60869*('2024 IR Data Book'!$A$5)</f>
        <v>-16573.816914447529</v>
      </c>
      <c r="E26" s="63">
        <f>-31519*('2024 IR Data Book'!$A$5)</f>
        <v>-8582.2033436802267</v>
      </c>
      <c r="F26" s="63">
        <f>-174292*('2024 IR Data Book'!$A$5)</f>
        <v>-47457.387137178019</v>
      </c>
      <c r="G26" s="63">
        <f>50503*('2024 IR Data Book'!$A$5)</f>
        <v>13751.293361651145</v>
      </c>
      <c r="H26" s="63">
        <f>65762*('2024 IR Data Book'!$A$5)</f>
        <v>17906.115558459947</v>
      </c>
      <c r="I26" s="63">
        <f>111542.267356377*(('2024 IR Data Book'!$A$5))</f>
        <v>30371.471806452373</v>
      </c>
      <c r="J26" s="63">
        <f>80056.9094076042*(('2024 IR Data Book'!$A$5))</f>
        <v>21798.428744650708</v>
      </c>
      <c r="K26" s="63">
        <f>3774*(('2024 IR Data Book'!$A$5))</f>
        <v>1027.6098676686815</v>
      </c>
      <c r="L26" s="63">
        <f>31618.0038329862*((('2024 IR Data Book'!$A$5)))</f>
        <v>8609.1607670277735</v>
      </c>
      <c r="M26" s="63">
        <f>134263.660749654*((('2024 IR Data Book'!$A$5)))</f>
        <v>36558.204201289002</v>
      </c>
      <c r="N26" s="63">
        <f>'[7]C.F Final as Financials'!$C$29*((('2024 IR Data Book'!$A$5)))</f>
        <v>5373.6925930129919</v>
      </c>
      <c r="O26" s="63">
        <f>'[8]C.F Final as Financials'!$C$29*((('2024 IR Data Book'!$A$5)))</f>
        <v>5670.4856938424082</v>
      </c>
      <c r="P26" s="63">
        <f>'[9]C.F Final as Financials'!$C$29*((('2024 IR Data Book'!$A$5)))</f>
        <v>16944.00867997875</v>
      </c>
      <c r="Q26" s="63">
        <f>'[10]C.F Final as Financials'!$C$29*((('2024 IR Data Book'!$A$5)))</f>
        <v>8347.5088725536443</v>
      </c>
    </row>
    <row r="27" spans="2:20" x14ac:dyDescent="0.2">
      <c r="B27" s="50" t="s">
        <v>152</v>
      </c>
      <c r="C27" s="63">
        <f>-24343*('2024 IR Data Book'!$A$5)</f>
        <v>-6628.274247127375</v>
      </c>
      <c r="D27" s="63">
        <f>-5662*('2024 IR Data Book'!$A$5)</f>
        <v>-1541.6870881664215</v>
      </c>
      <c r="E27" s="63">
        <f>-31622*('2024 IR Data Book'!$A$5)</f>
        <v>-8610.2488700103459</v>
      </c>
      <c r="F27" s="63">
        <f>16676*('2024 IR Data Book'!$A$5)</f>
        <v>4540.6523988455046</v>
      </c>
      <c r="G27" s="63">
        <f>-32385.840330583*('2024 IR Data Book'!$A$5)</f>
        <v>-8818.2324049945546</v>
      </c>
      <c r="H27" s="63">
        <f>-76633*('2024 IR Data Book'!$A$5)</f>
        <v>-20866.143876272938</v>
      </c>
      <c r="I27" s="63">
        <f>-98661.5622864977*(('2024 IR Data Book'!$A$5))</f>
        <v>-26864.227600745438</v>
      </c>
      <c r="J27" s="63">
        <f>-26068.052600806*(('2024 IR Data Book'!$A$5))</f>
        <v>-7097.9830639889997</v>
      </c>
      <c r="K27" s="63">
        <f>-12651*(('2024 IR Data Book'!$A$5))</f>
        <v>-3444.6985786636169</v>
      </c>
      <c r="L27" s="63">
        <f>-15016.363902908*((('2024 IR Data Book'!$A$5)))</f>
        <v>-4088.7556235114089</v>
      </c>
      <c r="M27" s="63">
        <f>-19129.8653756114*((('2024 IR Data Book'!$A$5)))</f>
        <v>-5208.8072144016223</v>
      </c>
      <c r="N27" s="63">
        <f>'[7]C.F Final as Financials'!$C$30*((('2024 IR Data Book'!$A$5)))</f>
        <v>806.6262602866525</v>
      </c>
      <c r="O27" s="63">
        <f>'[8]C.F Final as Financials'!$C$30*((('2024 IR Data Book'!$A$5)))</f>
        <v>1036.3808055356674</v>
      </c>
      <c r="P27" s="63">
        <f>'[9]C.F Final as Financials'!$C$30*((('2024 IR Data Book'!$A$5)))</f>
        <v>-6520.7889769939748</v>
      </c>
      <c r="Q27" s="63">
        <f>'[10]C.F Final as Financials'!$C$30*((('2024 IR Data Book'!$A$5)))</f>
        <v>-1443.08693831552</v>
      </c>
    </row>
    <row r="28" spans="2:20" x14ac:dyDescent="0.2">
      <c r="B28" s="50" t="s">
        <v>153</v>
      </c>
      <c r="C28" s="63">
        <f>-26200*('2024 IR Data Book'!$A$5)</f>
        <v>-7133.9105810597393</v>
      </c>
      <c r="D28" s="63">
        <f>-40096*('2024 IR Data Book'!$A$5)</f>
        <v>-10917.606055655393</v>
      </c>
      <c r="E28" s="63">
        <f>-34567*('2024 IR Data Book'!$A$5)</f>
        <v>-9412.1330937210696</v>
      </c>
      <c r="F28" s="63">
        <f>25240*('2024 IR Data Book'!$A$5)</f>
        <v>6872.515384196482</v>
      </c>
      <c r="G28" s="63">
        <f>-16854*('2024 IR Data Book'!$A$5)</f>
        <v>-4589.1194249305663</v>
      </c>
      <c r="H28" s="63">
        <f>-18635*('2024 IR Data Book'!$A$5)</f>
        <v>-5074.0619724445896</v>
      </c>
      <c r="I28" s="63">
        <f>12662.3772294495*(('2024 IR Data Book'!$A$5))</f>
        <v>3447.7964465091486</v>
      </c>
      <c r="J28" s="63">
        <f>17702*(('2024 IR Data Book'!$A$5))</f>
        <v>4820.0185154931105</v>
      </c>
      <c r="K28" s="63">
        <f>-22887*(('2024 IR Data Book'!$A$5))</f>
        <v>-6231.824865218101</v>
      </c>
      <c r="L28" s="63">
        <f>-30546.4333182499*((('2024 IR Data Book'!$A$5)))</f>
        <v>-8317.3864069732335</v>
      </c>
      <c r="M28" s="63">
        <f>-22600.196560927*((('2024 IR Data Book'!$A$5)))</f>
        <v>-6153.732113741491</v>
      </c>
      <c r="N28" s="63">
        <f>'[7]C.F Final as Financials'!$C$31*((('2024 IR Data Book'!$A$5)))</f>
        <v>-8291.64705738458</v>
      </c>
      <c r="O28" s="63">
        <f>'[8]C.F Final as Financials'!$C$31*((('2024 IR Data Book'!$A$5)))</f>
        <v>-6239.251132069212</v>
      </c>
      <c r="P28" s="204">
        <f>'[9]C.F Final as Financials'!$C$31*((('2024 IR Data Book'!$A$5)))</f>
        <v>-11321.549901213602</v>
      </c>
      <c r="Q28" s="204">
        <f>'[10]C.F Final as Financials'!$C$31*((('2024 IR Data Book'!$A$5)))</f>
        <v>-16381.863912738176</v>
      </c>
      <c r="T28" s="28"/>
    </row>
    <row r="29" spans="2:20" x14ac:dyDescent="0.2">
      <c r="B29" s="50" t="s">
        <v>154</v>
      </c>
      <c r="C29" s="63">
        <f>-121872*('2024 IR Data Book'!$A$5)</f>
        <v>-33184.120241790559</v>
      </c>
      <c r="D29" s="63">
        <f>-88003*('2024 IR Data Book'!$A$5)</f>
        <v>-23962.043239122147</v>
      </c>
      <c r="E29" s="63">
        <f>-120889*('2024 IR Data Book'!$A$5)</f>
        <v>-32916.462451669118</v>
      </c>
      <c r="F29" s="63">
        <f>-166484*('2024 IR Data Book'!$A$5)</f>
        <v>-45331.372869356856</v>
      </c>
      <c r="G29" s="63">
        <f>-49724*('2024 IR Data Book'!$A$5)</f>
        <v>-13539.182050863148</v>
      </c>
      <c r="H29" s="63">
        <f>-41966*('2024 IR Data Book'!$A$5)</f>
        <v>-11426.782116211947</v>
      </c>
      <c r="I29" s="63">
        <f>-119567.233277775*(('2024 IR Data Book'!$A$5))</f>
        <v>-32556.563001082337</v>
      </c>
      <c r="J29" s="204">
        <f>(-13628-87801)*(('2024 IR Data Book'!$A$5))</f>
        <v>-27617.763981920165</v>
      </c>
      <c r="K29" s="63">
        <f>-(3700+10772)*(('2024 IR Data Book'!$A$5))</f>
        <v>-3940.5325927136087</v>
      </c>
      <c r="L29" s="204">
        <f>-68295.656*((('2024 IR Data Book'!$A$5)))</f>
        <v>-18595.996296901376</v>
      </c>
      <c r="M29" s="63">
        <f>-110339.92504158*((('2024 IR Data Book'!$A$5)))</f>
        <v>-30044.090029292598</v>
      </c>
      <c r="N29" s="63">
        <f>('[7]C.F Final as Financials'!$C$32+'[7]C.F Final as Financials'!$C$33)*((('2024 IR Data Book'!$A$5)))</f>
        <v>-28067.000358364778</v>
      </c>
      <c r="O29" s="63">
        <f>('[8]C.F Final as Financials'!$C$32+'[8]C.F Final as Financials'!$C$33)*((('2024 IR Data Book'!$A$5)))</f>
        <v>4017.8395881628821</v>
      </c>
      <c r="P29" s="63">
        <f>('[9]C.F Final as Financials'!$C$32+'[9]C.F Final as Financials'!$C$33)*((('2024 IR Data Book'!$A$5)))</f>
        <v>-4621.1103464582657</v>
      </c>
      <c r="Q29" s="63">
        <f>('[10]C.F Final as Financials'!$C$32+'[10]C.F Final as Financials'!$C$33)*((('2024 IR Data Book'!$A$5)))</f>
        <v>-5051.2014816232713</v>
      </c>
      <c r="S29" s="28"/>
    </row>
    <row r="30" spans="2:20" x14ac:dyDescent="0.2">
      <c r="B30" s="50" t="s">
        <v>155</v>
      </c>
      <c r="C30" s="63"/>
      <c r="D30" s="63"/>
      <c r="E30" s="63"/>
      <c r="F30" s="63"/>
      <c r="G30" s="63"/>
      <c r="H30" s="63"/>
      <c r="I30" s="63"/>
      <c r="J30" s="204">
        <f>-2345*(('2024 IR Data Book'!$A$5))</f>
        <v>-638.51222567118657</v>
      </c>
      <c r="K30" s="204">
        <f>-1619*(('2024 IR Data Book'!$A$5))</f>
        <v>-440.832108043348</v>
      </c>
      <c r="L30" s="204">
        <f>-2449.39380892485*((('2024 IR Data Book'!$A$5)))</f>
        <v>-666.93726758287039</v>
      </c>
      <c r="M30" s="204">
        <f>-3156.95242264787*((('2024 IR Data Book'!$A$5)))</f>
        <v>-859.59604167289388</v>
      </c>
      <c r="N30" s="204">
        <f>'[7]C.F Final as Financials'!$C$34*((('2024 IR Data Book'!$A$5)))</f>
        <v>-805.53852964685507</v>
      </c>
      <c r="O30" s="204">
        <f>'[8]C.F Final as Financials'!$C$34*((('2024 IR Data Book'!$A$5)))</f>
        <v>-314.82037166396515</v>
      </c>
      <c r="P30" s="204">
        <f>'[9]C.F Final as Financials'!$C$34*((('2024 IR Data Book'!$A$5)))</f>
        <v>-384.31209331199494</v>
      </c>
      <c r="Q30" s="204">
        <f>'[10]C.F Final as Financials'!$C$34*((('2024 IR Data Book'!$A$5)))</f>
        <v>-381.89265333365665</v>
      </c>
    </row>
    <row r="31" spans="2:20" x14ac:dyDescent="0.2">
      <c r="B31" s="50" t="s">
        <v>156</v>
      </c>
      <c r="C31" s="66">
        <f>0*('2024 IR Data Book'!$A$5)</f>
        <v>0</v>
      </c>
      <c r="D31" s="66">
        <f>0*('2024 IR Data Book'!$A$5)</f>
        <v>0</v>
      </c>
      <c r="E31" s="66">
        <f>18964*('2024 IR Data Book'!$A$5)</f>
        <v>5163.6442847029348</v>
      </c>
      <c r="F31" s="66">
        <f>18305*('2024 IR Data Book'!$A$5)</f>
        <v>4984.2073735228441</v>
      </c>
      <c r="G31" s="66">
        <f>0*('2024 IR Data Book'!$A$5)</f>
        <v>0</v>
      </c>
      <c r="H31" s="66">
        <f>0*('2024 IR Data Book'!$A$5)</f>
        <v>0</v>
      </c>
      <c r="I31" s="66">
        <f>-4434.73416298412*(('2024 IR Data Book'!$A$5))</f>
        <v>-1207.5189683015085</v>
      </c>
      <c r="J31" s="66"/>
      <c r="K31" s="66">
        <f>0*(('2024 IR Data Book'!$A$5))</f>
        <v>0</v>
      </c>
      <c r="L31" s="66"/>
      <c r="M31" s="66"/>
      <c r="N31" s="66"/>
      <c r="O31" s="66"/>
      <c r="P31" s="66"/>
      <c r="Q31" s="66"/>
    </row>
    <row r="32" spans="2:20" x14ac:dyDescent="0.2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ht="25.5" x14ac:dyDescent="0.2">
      <c r="B33" s="51" t="s">
        <v>157</v>
      </c>
      <c r="C33" s="68">
        <f t="shared" ref="C33:H33" si="7">C23+SUM(C26:C31)</f>
        <v>10566.356259870401</v>
      </c>
      <c r="D33" s="68">
        <f t="shared" si="7"/>
        <v>62754.179600283169</v>
      </c>
      <c r="E33" s="68">
        <f t="shared" si="7"/>
        <v>106334.47693731962</v>
      </c>
      <c r="F33" s="68">
        <f t="shared" si="7"/>
        <v>121339.10581059732</v>
      </c>
      <c r="G33" s="68">
        <f t="shared" si="7"/>
        <v>37250.213544346327</v>
      </c>
      <c r="H33" s="68">
        <f t="shared" si="7"/>
        <v>79473.669879649286</v>
      </c>
      <c r="I33" s="68">
        <f t="shared" ref="I33:J33" si="8">I23+SUM(I26:I31)</f>
        <v>113963.79815648218</v>
      </c>
      <c r="J33" s="68">
        <f t="shared" si="8"/>
        <v>175802.77822021337</v>
      </c>
      <c r="K33" s="68">
        <f t="shared" ref="K33:L33" si="9">K23+SUM(K26:K31)</f>
        <v>34162.990796710772</v>
      </c>
      <c r="L33" s="68">
        <f t="shared" si="9"/>
        <v>65347.908308906714</v>
      </c>
      <c r="M33" s="68">
        <f t="shared" ref="M33:N33" si="10">M23+SUM(M26:M31)</f>
        <v>122608.43842751057</v>
      </c>
      <c r="N33" s="68">
        <f t="shared" si="10"/>
        <v>154787.28205277672</v>
      </c>
      <c r="O33" s="68">
        <f t="shared" ref="O33:P33" si="11">O23+SUM(O26:O31)</f>
        <v>58217.427334566964</v>
      </c>
      <c r="P33" s="68">
        <f t="shared" si="11"/>
        <v>88239.888165731725</v>
      </c>
      <c r="Q33" s="68">
        <f t="shared" ref="Q33" si="12">Q23+SUM(Q26:Q31)</f>
        <v>126931.00758557527</v>
      </c>
    </row>
    <row r="34" spans="2:17" x14ac:dyDescent="0.2">
      <c r="C34" s="63"/>
      <c r="D34" s="63"/>
      <c r="E34" s="63"/>
      <c r="F34" s="63"/>
      <c r="G34" s="63"/>
      <c r="H34" s="63"/>
      <c r="I34" s="63"/>
      <c r="J34" s="63"/>
      <c r="K34" s="63"/>
      <c r="L34" s="63">
        <f>0*((('2024 IR Data Book'!$A$5)))</f>
        <v>0</v>
      </c>
      <c r="M34" s="63">
        <f>0*((('2024 IR Data Book'!$A$5)))</f>
        <v>0</v>
      </c>
      <c r="N34" s="63"/>
      <c r="O34" s="63"/>
      <c r="P34" s="63"/>
      <c r="Q34" s="63"/>
    </row>
    <row r="35" spans="2:17" x14ac:dyDescent="0.2">
      <c r="B35" s="50" t="s">
        <v>158</v>
      </c>
      <c r="C35" s="65">
        <f>-4565*('2024 IR Data Book'!$A$5)</f>
        <v>-1242.9886184174698</v>
      </c>
      <c r="D35" s="65">
        <f>-19262*('2024 IR Data Book'!$A$5)</f>
        <v>-5244.785710395905</v>
      </c>
      <c r="E35" s="65">
        <f>-24728*('2024 IR Data Book'!$A$5)</f>
        <v>-6733.1046125360772</v>
      </c>
      <c r="F35" s="65">
        <f>-31732*('2024 IR Data Book'!$A$5)</f>
        <v>-8640.200402984261</v>
      </c>
      <c r="G35" s="65">
        <f>-6375*('2024 IR Data Book'!$A$5)</f>
        <v>-1735.8274791700701</v>
      </c>
      <c r="H35" s="65">
        <f>-12681*('2024 IR Data Book'!$A$5)</f>
        <v>-3452.8671785655938</v>
      </c>
      <c r="I35" s="65">
        <f>-18048.7065671711*(('2024 IR Data Book'!$A$5))</f>
        <v>-4914.4220898467292</v>
      </c>
      <c r="J35" s="65">
        <f>-20417*(('2024 IR Data Book'!$A$5))</f>
        <v>-5559.2768066220115</v>
      </c>
      <c r="K35" s="65">
        <f>-6805*(('2024 IR Data Book'!$A$5))</f>
        <v>-1852.9107444317376</v>
      </c>
      <c r="L35" s="65">
        <f>-11805.1423609359*((('2024 IR Data Book'!$A$5)))</f>
        <v>-3214.3828244121059</v>
      </c>
      <c r="M35" s="65">
        <f>-17402.4891376351*((('2024 IR Data Book'!$A$5)))</f>
        <v>-4738.4657021279472</v>
      </c>
      <c r="N35" s="65">
        <f>'[7]C.F Final as Financials'!$C$38*((('2024 IR Data Book'!$A$5)))</f>
        <v>-7078.7001487158805</v>
      </c>
      <c r="O35" s="65">
        <f>'[8]C.F Final as Financials'!$C$38*((('2024 IR Data Book'!$A$5)))</f>
        <v>-1111.5260688588689</v>
      </c>
      <c r="P35" s="65">
        <f>'[9]C.F Final as Financials'!$C$38*((('2024 IR Data Book'!$A$5)))</f>
        <v>-2360.7119937483899</v>
      </c>
      <c r="Q35" s="65">
        <f>'[10]C.F Final as Financials'!$C$38*((('2024 IR Data Book'!$A$5)))</f>
        <v>-3118.4710406411873</v>
      </c>
    </row>
    <row r="36" spans="2:17" x14ac:dyDescent="0.2">
      <c r="B36" s="50" t="s">
        <v>159</v>
      </c>
      <c r="C36" s="65">
        <f>-23078*('2024 IR Data Book'!$A$5)</f>
        <v>-6283.8316179273534</v>
      </c>
      <c r="D36" s="65">
        <f>-49099*('2024 IR Data Book'!$A$5)</f>
        <v>-13369.002886238632</v>
      </c>
      <c r="E36" s="65">
        <f>-61465*('2024 IR Data Book'!$A$5)</f>
        <v>-16736.099765833467</v>
      </c>
      <c r="F36" s="65">
        <f>-96549*('2024 IR Data Book'!$A$5)</f>
        <v>-26289.005064531939</v>
      </c>
      <c r="G36" s="65">
        <f>-15971*('2024 IR Data Book'!$A$5)</f>
        <v>-4348.6903011490494</v>
      </c>
      <c r="H36" s="65">
        <f>-36928*('2024 IR Data Book'!$A$5)</f>
        <v>-10055.001906006642</v>
      </c>
      <c r="I36" s="65">
        <f>-45334.603918391*(('2024 IR Data Book'!$A$5))</f>
        <v>-12344.008037464195</v>
      </c>
      <c r="J36" s="65">
        <f>-58781.8263249087*(('2024 IR Data Book'!$A$5))</f>
        <v>-16005.507358522218</v>
      </c>
      <c r="K36" s="65">
        <f>-4201*(('2024 IR Data Book'!$A$5))</f>
        <v>-1143.8762729401512</v>
      </c>
      <c r="L36" s="65">
        <f>-16617.6608600986*((('2024 IR Data Book'!$A$5)))</f>
        <v>-4524.7674290961713</v>
      </c>
      <c r="M36" s="65">
        <f>-23951.1506221876*((('2024 IR Data Book'!$A$5)))</f>
        <v>-6521.5788874877744</v>
      </c>
      <c r="N36" s="65">
        <f>'[7]C.F Final as Financials'!$C$39*((('2024 IR Data Book'!$A$5)))</f>
        <v>-9355.0399766404043</v>
      </c>
      <c r="O36" s="65">
        <f>'[8]C.F Final as Financials'!$C$39*((('2024 IR Data Book'!$A$5)))</f>
        <v>-567.57164415820762</v>
      </c>
      <c r="P36" s="65">
        <f>'[9]C.F Final as Financials'!$C$39*((('2024 IR Data Book'!$A$5)))</f>
        <v>-6648.7158488011373</v>
      </c>
      <c r="Q36" s="65">
        <f>'[10]C.F Final as Financials'!$C$39*((('2024 IR Data Book'!$A$5)))</f>
        <v>-9423.8884580131817</v>
      </c>
    </row>
    <row r="37" spans="2:17" ht="15" x14ac:dyDescent="0.2">
      <c r="B37" s="49" t="s">
        <v>160</v>
      </c>
      <c r="C37" s="55">
        <f t="shared" ref="C37:H37" si="13">SUM(C33:C36)</f>
        <v>3039.5360235255775</v>
      </c>
      <c r="D37" s="55">
        <f t="shared" si="13"/>
        <v>44140.391003648634</v>
      </c>
      <c r="E37" s="55">
        <f t="shared" si="13"/>
        <v>82865.272558950077</v>
      </c>
      <c r="F37" s="55">
        <f t="shared" si="13"/>
        <v>86409.900343081114</v>
      </c>
      <c r="G37" s="55">
        <f t="shared" si="13"/>
        <v>31165.695764027208</v>
      </c>
      <c r="H37" s="55">
        <f t="shared" si="13"/>
        <v>65965.800795077055</v>
      </c>
      <c r="I37" s="55">
        <f t="shared" ref="I37:J37" si="14">SUM(I33:I36)</f>
        <v>96705.368029171252</v>
      </c>
      <c r="J37" s="55">
        <f t="shared" si="14"/>
        <v>154237.99405506914</v>
      </c>
      <c r="K37" s="55">
        <f t="shared" ref="K37:L37" si="15">SUM(K33:K36)</f>
        <v>31166.203779338884</v>
      </c>
      <c r="L37" s="55">
        <f t="shared" si="15"/>
        <v>57608.758055398437</v>
      </c>
      <c r="M37" s="55">
        <f t="shared" ref="M37:N37" si="16">SUM(M33:M36)</f>
        <v>111348.39383789485</v>
      </c>
      <c r="N37" s="55">
        <f t="shared" si="16"/>
        <v>138353.54192742045</v>
      </c>
      <c r="O37" s="55">
        <f t="shared" ref="O37:P37" si="17">SUM(O33:O36)</f>
        <v>56538.329621549892</v>
      </c>
      <c r="P37" s="55">
        <f t="shared" si="17"/>
        <v>79230.460323182197</v>
      </c>
      <c r="Q37" s="55">
        <f t="shared" ref="Q37" si="18">SUM(Q33:Q36)</f>
        <v>114388.64808692089</v>
      </c>
    </row>
    <row r="38" spans="2:17" x14ac:dyDescent="0.2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2:17" x14ac:dyDescent="0.2">
      <c r="B39" s="46" t="s">
        <v>161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2:17" x14ac:dyDescent="0.2">
      <c r="B40" s="50" t="s">
        <v>162</v>
      </c>
      <c r="C40" s="65">
        <f>-34074*('2024 IR Data Book'!$A$5)</f>
        <v>-9277.8957686652502</v>
      </c>
      <c r="D40" s="65">
        <f>-63319*('2024 IR Data Book'!$A$5)</f>
        <v>-17240.919239775634</v>
      </c>
      <c r="E40" s="65">
        <f>-99376*('2024 IR Data Book'!$A$5)</f>
        <v>-27058.759461961552</v>
      </c>
      <c r="F40" s="65">
        <f>-128597*('2024 IR Data Book'!$A$5)</f>
        <v>-35015.248053150353</v>
      </c>
      <c r="G40" s="65">
        <f>-15766*('2024 IR Data Book'!$A$5)</f>
        <v>-4292.8715351522078</v>
      </c>
      <c r="H40" s="65">
        <f>-39025*('2024 IR Data Book'!$A$5)</f>
        <v>-10625.987039154821</v>
      </c>
      <c r="I40" s="65">
        <f>-52609.4286512622*(('2024 IR Data Book'!$A$5))</f>
        <v>-14324.845790791864</v>
      </c>
      <c r="J40" s="65">
        <f>-79141*(('2024 IR Data Book'!$A$5))</f>
        <v>-21549.038828078199</v>
      </c>
      <c r="K40" s="65">
        <f>-20327*(('2024 IR Data Book'!$A$5))</f>
        <v>-5534.7710069160812</v>
      </c>
      <c r="L40" s="65">
        <f>-70419.057903089*((('2024 IR Data Book'!$A$5)))</f>
        <v>-19174.170316149048</v>
      </c>
      <c r="M40" s="65">
        <f>-91317.5676271028*((('2024 IR Data Book'!$A$5)))</f>
        <v>-24864.555798917063</v>
      </c>
      <c r="N40" s="65">
        <f>'[7]C.F Final as Financials'!$C$43*((('2024 IR Data Book'!$A$5)))</f>
        <v>-34856.222988426525</v>
      </c>
      <c r="O40" s="65">
        <f>'[8]C.F Final as Financials'!$C$43*((('2024 IR Data Book'!$A$5)))</f>
        <v>-7291.6004575693914</v>
      </c>
      <c r="P40" s="65">
        <f>'[9]C.F Final as Financials'!$C$43*((('2024 IR Data Book'!$A$5)))</f>
        <v>-15327.330046839472</v>
      </c>
      <c r="Q40" s="65">
        <f>'[10]C.F Final as Financials'!$C$43*((('2024 IR Data Book'!$A$5)))</f>
        <v>-21585.912565248211</v>
      </c>
    </row>
    <row r="41" spans="2:17" x14ac:dyDescent="0.2">
      <c r="B41" s="50" t="s">
        <v>163</v>
      </c>
      <c r="C41" s="65">
        <f>2634*('2024 IR Data Book'!$A$5)</f>
        <v>717.20307139356305</v>
      </c>
      <c r="D41" s="65">
        <f>2908*('2024 IR Data Book'!$A$5)</f>
        <v>791.80961716495119</v>
      </c>
      <c r="E41" s="65">
        <f>5654*('2024 IR Data Book'!$A$5)</f>
        <v>1539.5087948592277</v>
      </c>
      <c r="F41" s="65">
        <f>6277*('2024 IR Data Book'!$A$5)</f>
        <v>1709.143386156946</v>
      </c>
      <c r="G41" s="65">
        <f>708*('2024 IR Data Book'!$A$5)</f>
        <v>192.77895768665249</v>
      </c>
      <c r="H41" s="65">
        <f>1376*('2024 IR Data Book'!$A$5)</f>
        <v>374.66644883733591</v>
      </c>
      <c r="I41" s="65">
        <f>2138.54676555677*(('2024 IR Data Book'!$A$5))</f>
        <v>582.29776331666119</v>
      </c>
      <c r="J41" s="65">
        <f>3578.941980125*(('2024 IR Data Book'!$A$5))</f>
        <v>974.49817026765777</v>
      </c>
      <c r="K41" s="65">
        <f>1975*(('2024 IR Data Book'!$A$5))</f>
        <v>537.76616021347274</v>
      </c>
      <c r="L41" s="65">
        <f>6914.74816262396*((('2024 IR Data Book'!$A$5)))</f>
        <v>1882.7937054468114</v>
      </c>
      <c r="M41" s="65">
        <f>6765.40867858112*((('2024 IR Data Book'!$A$5)))</f>
        <v>1842.1305556230243</v>
      </c>
      <c r="N41" s="65">
        <f>'[7]C.F Final as Financials'!$C$45*((('2024 IR Data Book'!$A$5)))</f>
        <v>1404.0719778690807</v>
      </c>
      <c r="O41" s="65">
        <f>'[8]C.F Final as Financials'!$C$46*((('2024 IR Data Book'!$A$5)))</f>
        <v>547.33413065144964</v>
      </c>
      <c r="P41" s="65">
        <f>'[9]C.F Final as Financials'!$C$46*((('2024 IR Data Book'!$A$5)))</f>
        <v>1213.2712383555727</v>
      </c>
      <c r="Q41" s="65">
        <f>'[10]C.F Final as Financials'!$C$47*((('2024 IR Data Book'!$A$5)))</f>
        <v>1489.5689099759134</v>
      </c>
    </row>
    <row r="42" spans="2:17" hidden="1" x14ac:dyDescent="0.2">
      <c r="B42" s="50" t="s">
        <v>164</v>
      </c>
      <c r="C42" s="65">
        <f>0*('2024 IR Data Book'!$A$5)</f>
        <v>0</v>
      </c>
      <c r="D42" s="65">
        <f>0*('2024 IR Data Book'!$A$5)</f>
        <v>0</v>
      </c>
      <c r="E42" s="65">
        <f>0*('2024 IR Data Book'!$A$5)</f>
        <v>0</v>
      </c>
      <c r="F42" s="65">
        <f>0*('2024 IR Data Book'!$A$5)</f>
        <v>0</v>
      </c>
      <c r="G42" s="65">
        <f>0*('2024 IR Data Book'!$A$5)</f>
        <v>0</v>
      </c>
      <c r="H42" s="65">
        <f>0*('2024 IR Data Book'!$A$5)</f>
        <v>0</v>
      </c>
      <c r="I42" s="65">
        <f>0*(('2024 IR Data Book'!$A$5))</f>
        <v>0</v>
      </c>
      <c r="J42" s="65">
        <f>0*(('2024 IR Data Book'!$A$5))</f>
        <v>0</v>
      </c>
      <c r="K42" s="65">
        <f>0*(('2024 IR Data Book'!$A$5))</f>
        <v>0</v>
      </c>
      <c r="L42" s="65">
        <f>0*((('2024 IR Data Book'!$A$5)))</f>
        <v>0</v>
      </c>
      <c r="M42" s="65">
        <f>0*((('2024 IR Data Book'!$A$5)))</f>
        <v>0</v>
      </c>
      <c r="N42" s="65">
        <f>0*((('2024 IR Data Book'!$A$5)))</f>
        <v>0</v>
      </c>
      <c r="O42" s="65">
        <f>0*((('2024 IR Data Book'!$A$5)))</f>
        <v>0</v>
      </c>
      <c r="P42" s="65">
        <f>0*((('2024 IR Data Book'!$A$5)))</f>
        <v>0</v>
      </c>
      <c r="Q42" s="65">
        <f>0*((('2024 IR Data Book'!$A$5)))</f>
        <v>0</v>
      </c>
    </row>
    <row r="43" spans="2:17" x14ac:dyDescent="0.2">
      <c r="B43" s="50" t="s">
        <v>165</v>
      </c>
      <c r="C43" s="65">
        <f>2332*('2024 IR Data Book'!$A$5)</f>
        <v>634.97249904699663</v>
      </c>
      <c r="D43" s="65">
        <f>3855*('2024 IR Data Book'!$A$5)</f>
        <v>1049.665087404019</v>
      </c>
      <c r="E43" s="65">
        <f>5047*('2024 IR Data Book'!$A$5)</f>
        <v>1374.230790175897</v>
      </c>
      <c r="F43" s="65">
        <f>6406*('2024 IR Data Book'!$A$5)</f>
        <v>1744.2683657354462</v>
      </c>
      <c r="G43" s="65">
        <f>991*('2024 IR Data Book'!$A$5)</f>
        <v>269.83608342863363</v>
      </c>
      <c r="H43" s="65">
        <f>1996*('2024 IR Data Book'!$A$5)</f>
        <v>543.48418014485651</v>
      </c>
      <c r="I43" s="65">
        <f>2759.31684564848*(('2024 IR Data Book'!$A$5))</f>
        <v>751.32517716290363</v>
      </c>
      <c r="J43" s="65">
        <f>4932.79116562149*(('2024 IR Data Book'!$A$5))</f>
        <v>1343.1332477322578</v>
      </c>
      <c r="K43" s="65">
        <f>2436*(('2024 IR Data Book'!$A$5))</f>
        <v>663.29031204051626</v>
      </c>
      <c r="L43" s="65">
        <f>4285.25230496629*((('2024 IR Data Book'!$A$5)))</f>
        <v>1166.8170519431164</v>
      </c>
      <c r="M43" s="65">
        <f>5657.50763383836*((('2024 IR Data Book'!$A$5)))</f>
        <v>1540.4638767735009</v>
      </c>
      <c r="N43" s="65">
        <f>'[7]C.F Final as Financials'!$C$47*((('2024 IR Data Book'!$A$5)))</f>
        <v>2278.2783377564206</v>
      </c>
      <c r="O43" s="65">
        <f>'[8]C.F Final as Financials'!$C$48*((('2024 IR Data Book'!$A$5)))</f>
        <v>277.53621547480208</v>
      </c>
      <c r="P43" s="65">
        <f>'[9]C.F Final as Financials'!$C$48*((('2024 IR Data Book'!$A$5)))</f>
        <v>707.97005018875916</v>
      </c>
      <c r="Q43" s="65">
        <f>'[10]C.F Final as Financials'!$C$49*((('2024 IR Data Book'!$A$5)))</f>
        <v>981.72236227469045</v>
      </c>
    </row>
    <row r="44" spans="2:17" x14ac:dyDescent="0.2">
      <c r="B44" s="50" t="s">
        <v>166</v>
      </c>
      <c r="C44" s="65">
        <f>-1535*('2024 IR Data Book'!$A$5)</f>
        <v>-417.960028317813</v>
      </c>
      <c r="D44" s="65">
        <f>662*('2024 IR Data Book'!$A$5)</f>
        <v>180.25377117028808</v>
      </c>
      <c r="E44" s="65">
        <f>250*('2024 IR Data Book'!$A$5)</f>
        <v>68.071665849806678</v>
      </c>
      <c r="F44" s="65">
        <f>-421*('2024 IR Data Book'!$A$5)</f>
        <v>-114.63268529107444</v>
      </c>
      <c r="G44" s="65">
        <f>165*('2024 IR Data Book'!$A$5)</f>
        <v>44.927299460872405</v>
      </c>
      <c r="H44" s="65">
        <f>360*('2024 IR Data Book'!$A$5)</f>
        <v>98.023198823721614</v>
      </c>
      <c r="I44" s="65">
        <f>1621.30920095115*(('2024 IR Data Book'!$A$5))</f>
        <v>441.46087266545493</v>
      </c>
      <c r="J44" s="65">
        <f>0.0484931206221972*(('2024 IR Data Book'!$A$5))</f>
        <v>1.3204030012034306E-2</v>
      </c>
      <c r="K44" s="65">
        <f>0.0484931206221972*(('2024 IR Data Book'!$A$5))</f>
        <v>1.3204030012034306E-2</v>
      </c>
      <c r="L44" s="65">
        <f>0*((('2024 IR Data Book'!$A$5)))</f>
        <v>0</v>
      </c>
      <c r="M44" s="65">
        <f>0*((('2024 IR Data Book'!$A$5)))</f>
        <v>0</v>
      </c>
      <c r="N44" s="65">
        <f>'[7]C.F Final as Financials'!$C$48*((('2024 IR Data Book'!$A$5)))</f>
        <v>1.3576807144288871E-2</v>
      </c>
      <c r="O44" s="65">
        <f>'[8]C.F Final as Financials'!$C$49*((('2024 IR Data Book'!$A$5)))</f>
        <v>2.9594101602616915E-3</v>
      </c>
      <c r="P44" s="65">
        <f>'[9]C.F Final as Financials'!$C$49*((('2024 IR Data Book'!$A$5)))</f>
        <v>4.4034344626581847E-3</v>
      </c>
      <c r="Q44" s="65">
        <f>'[10]C.F Final as Financials'!$C$50*((('2024 IR Data Book'!$A$5)))</f>
        <v>6.0276183147617386E-3</v>
      </c>
    </row>
    <row r="45" spans="2:17" x14ac:dyDescent="0.2">
      <c r="B45" s="50" t="s">
        <v>167</v>
      </c>
      <c r="C45" s="65">
        <f>0*('2024 IR Data Book'!$A$5)</f>
        <v>0</v>
      </c>
      <c r="D45" s="65">
        <f>0*('2024 IR Data Book'!$A$5)</f>
        <v>0</v>
      </c>
      <c r="E45" s="65">
        <f>289566*('2024 IR Data Book'!$A$5)</f>
        <v>78844.959973860474</v>
      </c>
      <c r="F45" s="65">
        <f>289566*('2024 IR Data Book'!$A$5)</f>
        <v>78844.959973860474</v>
      </c>
      <c r="G45" s="65">
        <f>2545*('2024 IR Data Book'!$A$5)</f>
        <v>692.96955835103188</v>
      </c>
      <c r="H45" s="65">
        <f>2545*('2024 IR Data Book'!$A$5)</f>
        <v>692.96955835103188</v>
      </c>
      <c r="I45" s="65">
        <f>15255.943674*(('2024 IR Data Book'!$A$5))</f>
        <v>4153.99</v>
      </c>
      <c r="J45" s="65">
        <f>16449.8*(('2024 IR Data Book'!$A$5))</f>
        <v>4479.061155584599</v>
      </c>
      <c r="K45" s="65">
        <f>36083*(('2024 IR Data Book'!$A$5))</f>
        <v>9824.9196754342975</v>
      </c>
      <c r="L45" s="65">
        <f>36082.3125*((('2024 IR Data Book'!$A$5)))</f>
        <v>9824.7324783532094</v>
      </c>
      <c r="M45" s="65">
        <f>36082.3125*((('2024 IR Data Book'!$A$5)))</f>
        <v>9824.7324783532094</v>
      </c>
      <c r="N45" s="65">
        <f>'[7]C.F Final as Financials'!$C$49*((('2024 IR Data Book'!$A$5)))</f>
        <v>9824.7324783532094</v>
      </c>
      <c r="O45" s="65">
        <f>'[8]C.F Final as Financials'!$C$50*((('2024 IR Data Book'!$A$5)))</f>
        <v>0</v>
      </c>
      <c r="P45" s="65">
        <f>'[9]C.F Final as Financials'!$C$50*((('2024 IR Data Book'!$A$5)))</f>
        <v>0</v>
      </c>
      <c r="Q45" s="65">
        <f>'[10]C.F Final as Financials'!$C$51*((('2024 IR Data Book'!$A$5)))</f>
        <v>0</v>
      </c>
    </row>
    <row r="46" spans="2:17" x14ac:dyDescent="0.2">
      <c r="B46" s="50" t="s">
        <v>168</v>
      </c>
      <c r="C46" s="65">
        <f>0*('2024 IR Data Book'!$A$5)</f>
        <v>0</v>
      </c>
      <c r="D46" s="65">
        <f>-4659*('2024 IR Data Book'!$A$5)</f>
        <v>-1268.5835647769973</v>
      </c>
      <c r="E46" s="65">
        <f>-5142*('2024 IR Data Book'!$A$5)</f>
        <v>-1400.0980231988237</v>
      </c>
      <c r="F46" s="65">
        <f>0*('2024 IR Data Book'!$A$5)</f>
        <v>0</v>
      </c>
      <c r="G46" s="65">
        <f>0*('2024 IR Data Book'!$A$5)</f>
        <v>0</v>
      </c>
      <c r="H46" s="65">
        <f>0*('2024 IR Data Book'!$A$5)</f>
        <v>0</v>
      </c>
      <c r="I46" s="65">
        <f>0*(('2024 IR Data Book'!$A$5))</f>
        <v>0</v>
      </c>
      <c r="J46" s="65">
        <f>0*(('2024 IR Data Book'!$A$5))</f>
        <v>0</v>
      </c>
      <c r="K46" s="65">
        <f>0*(('2024 IR Data Book'!$A$5))</f>
        <v>0</v>
      </c>
      <c r="L46" s="65">
        <f>0*((('2024 IR Data Book'!$A$5)))</f>
        <v>0</v>
      </c>
      <c r="M46" s="65">
        <f>0*((('2024 IR Data Book'!$A$5)))</f>
        <v>0</v>
      </c>
      <c r="N46" s="65">
        <f>0*((('2024 IR Data Book'!$A$5)))</f>
        <v>0</v>
      </c>
      <c r="O46" s="65">
        <f>'[8]C.F Final as Financials'!$C$45*((('2024 IR Data Book'!$A$5)))</f>
        <v>-425</v>
      </c>
      <c r="P46" s="65">
        <f>'[9]C.F Final as Financials'!$C$45*((('2024 IR Data Book'!$A$5)))</f>
        <v>-425</v>
      </c>
      <c r="Q46" s="65">
        <f>'[10]C.F Final as Financials'!$C$45*((('2024 IR Data Book'!$A$5)))</f>
        <v>-425</v>
      </c>
    </row>
    <row r="47" spans="2:17" x14ac:dyDescent="0.2">
      <c r="B47" s="50" t="s">
        <v>169</v>
      </c>
      <c r="C47" s="65"/>
      <c r="D47" s="65"/>
      <c r="E47" s="65"/>
      <c r="F47" s="65"/>
      <c r="G47" s="65"/>
      <c r="H47" s="65"/>
      <c r="I47" s="65">
        <f>0*(('2024 IR Data Book'!$A$5))</f>
        <v>0</v>
      </c>
      <c r="J47" s="65">
        <f>-943032.761036743*(('2024 IR Data Book'!$A$5))</f>
        <v>-256775.243978855</v>
      </c>
      <c r="K47" s="65">
        <f>0*(('2024 IR Data Book'!$A$5))</f>
        <v>0</v>
      </c>
      <c r="L47" s="65">
        <f>0*((('2024 IR Data Book'!$A$5)))</f>
        <v>0</v>
      </c>
      <c r="M47" s="65">
        <f>11287.1411388*((('2024 IR Data Book'!$A$5)))</f>
        <v>3073.3379999999997</v>
      </c>
      <c r="N47" s="65">
        <f>'[7]C.F Final as Financials'!$C$44*((('2024 IR Data Book'!$A$5)))</f>
        <v>3073.3380000000002</v>
      </c>
      <c r="O47" s="65">
        <f>'[8]C.F Final as Financials'!$C$44*((('2024 IR Data Book'!$A$5)))</f>
        <v>-5821.0832331468</v>
      </c>
      <c r="P47" s="65">
        <f>'[9]C.F Final as Financials'!$C$44*((('2024 IR Data Book'!$A$5)))</f>
        <v>-6297.2620952915904</v>
      </c>
      <c r="Q47" s="65">
        <f>'[10]C.F Final as Financials'!$C$44*((('2024 IR Data Book'!$A$5)))</f>
        <v>-6297.2620952915904</v>
      </c>
    </row>
    <row r="48" spans="2:17" x14ac:dyDescent="0.2">
      <c r="B48" s="50" t="s">
        <v>170</v>
      </c>
      <c r="C48" s="65">
        <f>4557*('2024 IR Data Book'!$A$5)</f>
        <v>1240.8103251102759</v>
      </c>
      <c r="D48" s="65">
        <f>4557*('2024 IR Data Book'!$A$5)</f>
        <v>1240.8103251102759</v>
      </c>
      <c r="E48" s="65">
        <f>13209*('2024 IR Data Book'!$A$5)</f>
        <v>3596.6345368403854</v>
      </c>
      <c r="F48" s="65">
        <f>13209*('2024 IR Data Book'!$A$5)</f>
        <v>3596.6345368403854</v>
      </c>
      <c r="G48" s="65">
        <f>0*('2024 IR Data Book'!$A$5)</f>
        <v>0</v>
      </c>
      <c r="H48" s="65">
        <f>8728*('2024 IR Data Book'!$A$5)</f>
        <v>2376.5179981484507</v>
      </c>
      <c r="I48" s="65">
        <f>8729.19643474623*(('2024 IR Data Book'!$A$5))</f>
        <v>2376.8437713734766</v>
      </c>
      <c r="J48" s="65">
        <f>18208.7389425462*(('2024 IR Data Book'!$A$5))</f>
        <v>4957.9967713734677</v>
      </c>
      <c r="K48" s="65">
        <f>0*(('2024 IR Data Book'!$A$5))</f>
        <v>0</v>
      </c>
      <c r="L48" s="65">
        <v>0</v>
      </c>
      <c r="M48" s="65">
        <v>0</v>
      </c>
      <c r="N48" s="65">
        <f>'[7]C.F Final as Financials'!$C$50*((('2024 IR Data Book'!$A$5)))</f>
        <v>1560.57336162707</v>
      </c>
      <c r="O48" s="65">
        <f>'[8]C.F Final as Financials'!$C$51*((('2024 IR Data Book'!$A$5)))</f>
        <v>0</v>
      </c>
      <c r="P48" s="65">
        <f>'[9]C.F Final as Financials'!$C$51*((('2024 IR Data Book'!$A$5)))</f>
        <v>0</v>
      </c>
      <c r="Q48" s="65">
        <f>'[10]C.F Final as Financials'!$C$52*((('2024 IR Data Book'!$A$5)))</f>
        <v>0</v>
      </c>
    </row>
    <row r="49" spans="2:19" x14ac:dyDescent="0.2">
      <c r="B49" s="50" t="s">
        <v>171</v>
      </c>
      <c r="C49" s="65">
        <f>0*('2024 IR Data Book'!$A$5)</f>
        <v>0</v>
      </c>
      <c r="D49" s="65">
        <f>0*('2024 IR Data Book'!$A$5)</f>
        <v>0</v>
      </c>
      <c r="E49" s="65">
        <f>0*('2024 IR Data Book'!$A$5)</f>
        <v>0</v>
      </c>
      <c r="F49" s="65">
        <f>-4895*('2024 IR Data Book'!$A$5)</f>
        <v>-1332.8432173392146</v>
      </c>
      <c r="G49" s="65">
        <f>0*('2024 IR Data Book'!$A$5)</f>
        <v>0</v>
      </c>
      <c r="H49" s="65">
        <f>0*('2024 IR Data Book'!$A$5)</f>
        <v>0</v>
      </c>
      <c r="I49" s="65">
        <f>0*(('2024 IR Data Book'!$A$5))</f>
        <v>0</v>
      </c>
      <c r="J49" s="65">
        <f>-0.175270342850126*(('2024 IR Data Book'!$A$5))</f>
        <v>-4.7723776847499316E-2</v>
      </c>
      <c r="K49" s="65">
        <f>0*(('2024 IR Data Book'!$A$5))</f>
        <v>0</v>
      </c>
      <c r="L49" s="65">
        <f>0*((('2024 IR Data Book'!$A$5)))</f>
        <v>0</v>
      </c>
      <c r="M49" s="65">
        <f>0*((('2024 IR Data Book'!$A$5)))</f>
        <v>0</v>
      </c>
      <c r="N49" s="65">
        <f>0*((('2024 IR Data Book'!$A$5)))</f>
        <v>0</v>
      </c>
      <c r="O49" s="65">
        <f>0*((('2024 IR Data Book'!$A$5)))</f>
        <v>0</v>
      </c>
      <c r="P49" s="65">
        <f>0*((('2024 IR Data Book'!$A$5)))</f>
        <v>0</v>
      </c>
      <c r="Q49" s="65">
        <f>0*((('2024 IR Data Book'!$A$5)))</f>
        <v>0</v>
      </c>
    </row>
    <row r="50" spans="2:19" x14ac:dyDescent="0.2">
      <c r="B50" s="50" t="s">
        <v>172</v>
      </c>
      <c r="C50" s="65">
        <f>218*('2024 IR Data Book'!$A$5)</f>
        <v>59.358492621031417</v>
      </c>
      <c r="D50" s="65">
        <f>964*('2024 IR Data Book'!$A$5)</f>
        <v>262.48434351685455</v>
      </c>
      <c r="E50" s="65">
        <f>1099*('2024 IR Data Book'!$A$5)</f>
        <v>299.24304307575011</v>
      </c>
      <c r="F50" s="65">
        <f>117*('2024 IR Data Book'!$A$5)</f>
        <v>31.857539617709524</v>
      </c>
      <c r="G50" s="65">
        <f>16*('2024 IR Data Book'!$A$5)</f>
        <v>4.3565866143876271</v>
      </c>
      <c r="H50" s="65">
        <f>196*('2024 IR Data Book'!$A$5)</f>
        <v>53.368186026248431</v>
      </c>
      <c r="I50" s="65">
        <f>332.485447093773*(('2024 IR Data Book'!$A$5))</f>
        <v>90.531353017963568</v>
      </c>
      <c r="J50" s="65">
        <f>-2184.69192783834*(('2024 IR Data Book'!$A$5))</f>
        <v>-594.86247558632567</v>
      </c>
      <c r="K50" s="65">
        <f>377*(('2024 IR Data Book'!$A$5))</f>
        <v>102.65207210150847</v>
      </c>
      <c r="L50" s="65">
        <f>103.057062464837*((('2024 IR Data Book'!$A$5)))</f>
        <v>28.061063678276152</v>
      </c>
      <c r="M50" s="65">
        <f>-885.864328611081*((('2024 IR Data Book'!$A$5)))</f>
        <v>-241.20904226190734</v>
      </c>
      <c r="N50" s="65">
        <f>'[7]C.F Final as Financials'!$C$51*((('2024 IR Data Book'!$A$5)))</f>
        <v>-301.42546516791458</v>
      </c>
      <c r="O50" s="65">
        <f>'[8]C.F Final as Financials'!$C$52*((('2024 IR Data Book'!$A$5)))</f>
        <v>-1037.5142000741644</v>
      </c>
      <c r="P50" s="65">
        <f>'[9]C.F Final as Financials'!$C$52*((('2024 IR Data Book'!$A$5)))</f>
        <v>-957.46492581623954</v>
      </c>
      <c r="Q50" s="65">
        <f>'[10]C.F Final as Financials'!$C$53*((('2024 IR Data Book'!$A$5)))</f>
        <v>-3099.1042001841379</v>
      </c>
    </row>
    <row r="51" spans="2:19" x14ac:dyDescent="0.2">
      <c r="B51" s="50" t="s">
        <v>173</v>
      </c>
      <c r="C51" s="65">
        <f>-2777*('2024 IR Data Book'!$A$5)</f>
        <v>-756.14006425965249</v>
      </c>
      <c r="D51" s="65">
        <f>-7758*('2024 IR Data Book'!$A$5)</f>
        <v>-2112.3999346512005</v>
      </c>
      <c r="E51" s="65">
        <f>0*('2024 IR Data Book'!$A$5)</f>
        <v>0</v>
      </c>
      <c r="F51" s="65">
        <f>-12132*('2024 IR Data Book'!$A$5)</f>
        <v>-3303.3818003594183</v>
      </c>
      <c r="G51" s="65">
        <f>-815*('2024 IR Data Book'!$A$5)</f>
        <v>-221.91363067036974</v>
      </c>
      <c r="H51" s="65">
        <f>2743*('2024 IR Data Book'!$A$5)</f>
        <v>746.88231770407879</v>
      </c>
      <c r="I51" s="65">
        <f>2753.51740387131*(('2024 IR Data Book'!$A$5))</f>
        <v>749.74606651181989</v>
      </c>
      <c r="J51" s="65">
        <f>3967.57154230902*(('2024 IR Data Book'!$A$5))</f>
        <v>1080.3168170530469</v>
      </c>
      <c r="K51" s="65">
        <f>-117*(('2024 IR Data Book'!$A$5))</f>
        <v>-31.857539617709524</v>
      </c>
      <c r="L51" s="65">
        <f>-120.309753082349*((('2024 IR Data Book'!$A$5)))</f>
        <v>-32.758741241177638</v>
      </c>
      <c r="M51" s="65">
        <f>-133.739990658582*((('2024 IR Data Book'!$A$5)))</f>
        <v>-36.415615819469039</v>
      </c>
      <c r="N51" s="65">
        <f>'[7]C.F Final as Financials'!$C$52*((('2024 IR Data Book'!$A$5)))</f>
        <v>-38.359290652745841</v>
      </c>
      <c r="O51" s="65">
        <f>'[8]C.F Final as Financials'!$C$53*((('2024 IR Data Book'!$A$5)))</f>
        <v>-1.2675489813409804</v>
      </c>
      <c r="P51" s="65">
        <f>'[9]C.F Final as Financials'!$C$53*((('2024 IR Data Book'!$A$5)))</f>
        <v>2.4434894636868076</v>
      </c>
      <c r="Q51" s="65">
        <f>'[10]C.F Final as Financials'!$C$54*((('2024 IR Data Book'!$A$5)))</f>
        <v>1.8113346404466668</v>
      </c>
    </row>
    <row r="52" spans="2:19" x14ac:dyDescent="0.2">
      <c r="B52" s="50" t="s">
        <v>336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>
        <f>'[9]C.F Final as Financials'!$C$54*((('2024 IR Data Book'!$A$5)))</f>
        <v>-365.6531333544367</v>
      </c>
      <c r="Q52" s="65">
        <f>'[10]C.F Final as Financials'!$C$55*((('2024 IR Data Book'!$A$5)))</f>
        <v>-453.23081963003875</v>
      </c>
    </row>
    <row r="53" spans="2:19" x14ac:dyDescent="0.2">
      <c r="B53" s="50" t="s">
        <v>174</v>
      </c>
      <c r="C53" s="65">
        <f>410*('2024 IR Data Book'!$A$5)</f>
        <v>111.63753199368294</v>
      </c>
      <c r="D53" s="65">
        <f>190505*('2024 IR Data Book'!$A$5)</f>
        <v>51871.97081086968</v>
      </c>
      <c r="E53" s="65">
        <f>-120174*('2024 IR Data Book'!$A$5)</f>
        <v>-32721.77748733867</v>
      </c>
      <c r="F53" s="65">
        <f>(1901+195040)*('2024 IR Data Book'!$A$5)</f>
        <v>53624.407776507105</v>
      </c>
      <c r="G53" s="65">
        <f>128*('2024 IR Data Book'!$A$5)</f>
        <v>34.852692915101017</v>
      </c>
      <c r="H53" s="65">
        <f>45155*('2024 IR Data Book'!$A$5)</f>
        <v>12295.104285792082</v>
      </c>
      <c r="I53" s="65">
        <f>45142.2209088347*(('2024 IR Data Book'!$A$5))</f>
        <v>12291.624709697408</v>
      </c>
      <c r="J53" s="65">
        <f>45619.2415088347*(('2024 IR Data Book'!$A$5))</f>
        <v>12421.511057244103</v>
      </c>
      <c r="K53" s="65">
        <f>187*(('2024 IR Data Book'!$A$5))</f>
        <v>50.917606055655391</v>
      </c>
      <c r="L53" s="65">
        <f>304.596876848664*((('2024 IR Data Book'!$A$5)))</f>
        <v>82.937667278947885</v>
      </c>
      <c r="M53" s="65">
        <f>2140.97415741659*((('2024 IR Data Book'!$A$5)))</f>
        <v>582.95870974693401</v>
      </c>
      <c r="N53" s="65">
        <f>'[7]C.F Final as Financials'!$C$53*((('2024 IR Data Book'!$A$5)))</f>
        <v>484.07732805237811</v>
      </c>
      <c r="O53" s="65">
        <f>'[8]C.F Final as Financials'!$C$54*((('2024 IR Data Book'!$A$5)))</f>
        <v>80.23038954791059</v>
      </c>
      <c r="P53" s="65">
        <f>'[9]C.F Final as Financials'!$C$55*((('2024 IR Data Book'!$A$5)))</f>
        <v>62.721927098343073</v>
      </c>
      <c r="Q53" s="65">
        <f>'[10]C.F Final as Financials'!$C$56*((('2024 IR Data Book'!$A$5)))</f>
        <v>455.20260791519269</v>
      </c>
    </row>
    <row r="54" spans="2:19" x14ac:dyDescent="0.2">
      <c r="B54" s="50" t="s">
        <v>175</v>
      </c>
      <c r="C54" s="65">
        <f>0*('2024 IR Data Book'!$A$5)</f>
        <v>0</v>
      </c>
      <c r="D54" s="65">
        <f>0*('2024 IR Data Book'!$A$5)</f>
        <v>0</v>
      </c>
      <c r="E54" s="65">
        <f>0*('2024 IR Data Book'!$A$5)</f>
        <v>0</v>
      </c>
      <c r="F54" s="65">
        <f>567*('2024 IR Data Book'!$A$5)</f>
        <v>154.38653814736153</v>
      </c>
      <c r="G54" s="65">
        <f>0*('2024 IR Data Book'!$A$5)</f>
        <v>0</v>
      </c>
      <c r="H54" s="65">
        <f>0*('2024 IR Data Book'!$A$5)</f>
        <v>0</v>
      </c>
      <c r="I54" s="65">
        <f>(0*('2024 IR Data Book'!$A$5))*(('2024 IR Data Book'!$A$5))</f>
        <v>0</v>
      </c>
      <c r="J54" s="65">
        <f>(0*('2024 IR Data Book'!$A$5))*(('2024 IR Data Book'!$A$5))</f>
        <v>0</v>
      </c>
      <c r="K54" s="65">
        <f>(0*('2024 IR Data Book'!$A$5))*(('2024 IR Data Book'!$A$5))</f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</row>
    <row r="55" spans="2:19" ht="15" x14ac:dyDescent="0.2">
      <c r="B55" s="49" t="s">
        <v>176</v>
      </c>
      <c r="C55" s="55">
        <f t="shared" ref="C55:P55" si="19">SUM(C40:C54)</f>
        <v>-7688.0139410771653</v>
      </c>
      <c r="D55" s="55">
        <f t="shared" si="19"/>
        <v>34775.09121603224</v>
      </c>
      <c r="E55" s="55">
        <f t="shared" si="19"/>
        <v>24542.013832162495</v>
      </c>
      <c r="F55" s="55">
        <f t="shared" si="19"/>
        <v>99939.552360725371</v>
      </c>
      <c r="G55" s="55">
        <f t="shared" si="19"/>
        <v>-3275.0639873658984</v>
      </c>
      <c r="H55" s="55">
        <f t="shared" si="19"/>
        <v>6555.0291346729828</v>
      </c>
      <c r="I55" s="55">
        <f t="shared" si="19"/>
        <v>7112.9739229538236</v>
      </c>
      <c r="J55" s="55">
        <f t="shared" si="19"/>
        <v>-253662.66258301114</v>
      </c>
      <c r="K55" s="55">
        <f t="shared" si="19"/>
        <v>5612.9304833416727</v>
      </c>
      <c r="L55" s="55">
        <f t="shared" si="19"/>
        <v>-6221.5870906898626</v>
      </c>
      <c r="M55" s="55">
        <f t="shared" si="19"/>
        <v>-8278.5568365017698</v>
      </c>
      <c r="N55" s="55">
        <f t="shared" si="19"/>
        <v>-16570.922683781879</v>
      </c>
      <c r="O55" s="55">
        <f t="shared" si="19"/>
        <v>-13671.361744687374</v>
      </c>
      <c r="P55" s="55">
        <f t="shared" si="19"/>
        <v>-21386.299092760913</v>
      </c>
      <c r="Q55" s="55">
        <f t="shared" ref="Q55" si="20">SUM(Q40:Q54)</f>
        <v>-28932.198437929423</v>
      </c>
    </row>
    <row r="56" spans="2:19" x14ac:dyDescent="0.2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2:19" x14ac:dyDescent="0.2">
      <c r="B57" s="52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2:19" x14ac:dyDescent="0.2">
      <c r="B58" s="46" t="s">
        <v>177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2:19" x14ac:dyDescent="0.2">
      <c r="B59" s="52" t="s">
        <v>178</v>
      </c>
      <c r="C59" s="57">
        <f>-17726*('2024 IR Data Book'!$A$5)</f>
        <v>-4826.5533954146922</v>
      </c>
      <c r="D59" s="57">
        <f>-32563*('2024 IR Data Book'!$A$5)</f>
        <v>-8866.4706202690195</v>
      </c>
      <c r="E59" s="57">
        <f>-46408*('2024 IR Data Book'!$A$5)</f>
        <v>-12636.279475031311</v>
      </c>
      <c r="F59" s="57">
        <f>-60218*('2024 IR Data Book'!$A$5)</f>
        <v>-16396.558296574633</v>
      </c>
      <c r="G59" s="57">
        <f>-12262*('2024 IR Data Book'!$A$5)</f>
        <v>-3338.7790666013175</v>
      </c>
      <c r="H59" s="57">
        <f>-27657*('2024 IR Data Book'!$A$5)</f>
        <v>-7530.6322496324128</v>
      </c>
      <c r="I59" s="57">
        <f>-44033.9826625978*(('2024 IR Data Book'!$A$5))</f>
        <v>-11989.866215378152</v>
      </c>
      <c r="J59" s="57">
        <f>-60186.5962564553*(('2024 IR Data Book'!$A$5))</f>
        <v>-16388.0074760266</v>
      </c>
      <c r="K59" s="57">
        <f>-16030*(('2024 IR Data Book'!$A$5))</f>
        <v>-4364.7552142896038</v>
      </c>
      <c r="L59" s="57">
        <f>-59431.5215119299*((('2024 IR Data Book'!$A$5)))</f>
        <v>-16182.410693222757</v>
      </c>
      <c r="M59" s="57">
        <f>-90349.87157544*((('2024 IR Data Book'!$A$5)))</f>
        <v>-24601.065069825192</v>
      </c>
      <c r="N59" s="57">
        <f>'[7]C.F Final as Financials'!$C$59*((('2024 IR Data Book'!$A$5)))</f>
        <v>-29687.696889838036</v>
      </c>
      <c r="O59" s="57">
        <f>'[8]C.F Final as Financials'!$C$60*((('2024 IR Data Book'!$A$5)))</f>
        <v>-9252.1362496381553</v>
      </c>
      <c r="P59" s="57">
        <f>'[9]C.F Final as Financials'!$C$61*((('2024 IR Data Book'!$A$5)))</f>
        <v>-17456.990415755412</v>
      </c>
      <c r="Q59" s="57">
        <f>'[10]C.F Final as Financials'!$C$62*((('2024 IR Data Book'!$A$5)))</f>
        <v>-26127.75267713414</v>
      </c>
      <c r="S59" s="28"/>
    </row>
    <row r="60" spans="2:19" x14ac:dyDescent="0.2">
      <c r="B60" s="52" t="s">
        <v>179</v>
      </c>
      <c r="C60" s="57">
        <f>2166*('2024 IR Data Book'!$A$5)</f>
        <v>589.77291292272503</v>
      </c>
      <c r="D60" s="57">
        <f>2137*('2024 IR Data Book'!$A$5)</f>
        <v>581.87659968414744</v>
      </c>
      <c r="E60" s="57">
        <f>3043*('2024 IR Data Book'!$A$5)</f>
        <v>828.56831672384681</v>
      </c>
      <c r="F60" s="57">
        <f>4044*('2024 IR Data Book'!$A$5)</f>
        <v>1101.1272667864728</v>
      </c>
      <c r="G60" s="57">
        <f>1601*('2024 IR Data Book'!$A$5)</f>
        <v>435.93094810216195</v>
      </c>
      <c r="H60" s="57">
        <f>6110*('2024 IR Data Book'!$A$5)</f>
        <v>1663.6715133692751</v>
      </c>
      <c r="I60" s="57">
        <f>15464.6045364219*(('2024 IR Data Book'!$A$5))</f>
        <v>4210.8055700108644</v>
      </c>
      <c r="J60" s="57">
        <f>996033.540730966*(('2024 IR Data Book'!$A$5))</f>
        <v>271206.64943935251</v>
      </c>
      <c r="K60" s="57">
        <f>25482*(('2024 IR Data Book'!$A$5))</f>
        <v>6938.4087567390943</v>
      </c>
      <c r="L60" s="57">
        <f>27709.4666868058*((('2024 IR Data Book'!$A$5)))</f>
        <v>7544.9182287223766</v>
      </c>
      <c r="M60" s="57">
        <f>27385.4030889146*((('2024 IR Data Book'!$A$5)))</f>
        <v>7456.6800329234329</v>
      </c>
      <c r="N60" s="57">
        <f>'[7]C.F Final as Financials'!$C$60*((('2024 IR Data Book'!$A$5)))</f>
        <v>9430.7939147265697</v>
      </c>
      <c r="O60" s="57">
        <f>'[8]C.F Final as Financials'!$C$61*((('2024 IR Data Book'!$A$5)))</f>
        <v>9091.708395437885</v>
      </c>
      <c r="P60" s="57">
        <f>'[9]C.F Final as Financials'!$C$62*((('2024 IR Data Book'!$A$5)))</f>
        <v>9197.4705632084006</v>
      </c>
      <c r="Q60" s="57">
        <f>'[10]C.F Final as Financials'!$C$63*((('2024 IR Data Book'!$A$5)))</f>
        <v>9221.356327069836</v>
      </c>
    </row>
    <row r="61" spans="2:19" x14ac:dyDescent="0.2">
      <c r="B61" s="52" t="s">
        <v>180</v>
      </c>
      <c r="C61" s="57">
        <f>-160225*('2024 IR Data Book'!$A$5)</f>
        <v>-43627.130643141099</v>
      </c>
      <c r="D61" s="57">
        <f>-169019*('2024 IR Data Book'!$A$5)</f>
        <v>-46021.619561073894</v>
      </c>
      <c r="E61" s="57">
        <f>-286405*('2024 IR Data Book'!$A$5)</f>
        <v>-77984.261830855525</v>
      </c>
      <c r="F61" s="57">
        <f>-544203*('2024 IR Data Book'!$A$5)</f>
        <v>-148179.21908184935</v>
      </c>
      <c r="G61" s="57">
        <f>-2804*('2024 IR Data Book'!$A$5)</f>
        <v>-763.49180417143168</v>
      </c>
      <c r="H61" s="57">
        <f>-6930*('2024 IR Data Book'!$A$5)</f>
        <v>-1886.946577356641</v>
      </c>
      <c r="I61" s="57">
        <f>-16648.3220056357*(('2024 IR Data Book'!$A$5))</f>
        <v>-4533.1160501104659</v>
      </c>
      <c r="J61" s="57">
        <f>-24790.5194128191*(('2024 IR Data Book'!$A$5))</f>
        <v>-6750.1278148502688</v>
      </c>
      <c r="K61" s="57">
        <f>-18008*(('2024 IR Data Book'!$A$5))</f>
        <v>-4903.3382344932743</v>
      </c>
      <c r="L61" s="57">
        <f>-20227.38117843*((('2024 IR Data Book'!$A$5)))</f>
        <v>-5507.6461303790229</v>
      </c>
      <c r="M61" s="57">
        <f>-21924.65992836*((('2024 IR Data Book'!$A$5)))</f>
        <v>-5969.7924980558728</v>
      </c>
      <c r="N61" s="57">
        <f>'[7]C.F Final as Financials'!$C$61*((('2024 IR Data Book'!$A$5)))</f>
        <v>-15395.109036269339</v>
      </c>
      <c r="O61" s="57">
        <f>'[8]C.F Final as Financials'!$C$62*((('2024 IR Data Book'!$A$5)))</f>
        <v>-19220.380475042479</v>
      </c>
      <c r="P61" s="57">
        <f>'[9]C.F Final as Financials'!$C$63*((('2024 IR Data Book'!$A$5)))</f>
        <v>-42300.76426800753</v>
      </c>
      <c r="Q61" s="57">
        <f>'[10]C.F Final as Financials'!$C$64*((('2024 IR Data Book'!$A$5)))</f>
        <v>-53219.955209071391</v>
      </c>
    </row>
    <row r="62" spans="2:19" x14ac:dyDescent="0.2">
      <c r="B62" s="52" t="s">
        <v>338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>
        <f>'[9]C.F Final as Financials'!$C$64*((('2024 IR Data Book'!$A$5)))</f>
        <v>-2722.866633992267</v>
      </c>
      <c r="Q62" s="57">
        <f>'[10]C.F Final as Financials'!$C$65*((('2024 IR Data Book'!$A$5)))</f>
        <v>-2722.866633992267</v>
      </c>
    </row>
    <row r="63" spans="2:19" x14ac:dyDescent="0.2">
      <c r="B63" s="53" t="s">
        <v>181</v>
      </c>
      <c r="C63" s="57">
        <f>-80409*('2024 IR Data Book'!$A$5)</f>
        <v>-21894.298317268418</v>
      </c>
      <c r="D63" s="57">
        <f>-137113*('2024 IR Data Book'!$A$5)</f>
        <v>-37334.041278658173</v>
      </c>
      <c r="E63" s="57">
        <f>-188375*('2024 IR Data Book'!$A$5)</f>
        <v>-51292.000217829329</v>
      </c>
      <c r="F63" s="57">
        <f>-267254*('2024 IR Data Book'!$A$5)</f>
        <v>-72769.699940096936</v>
      </c>
      <c r="G63" s="57">
        <f>-82244*('2024 IR Data Book'!$A$5)</f>
        <v>-22393.944344606</v>
      </c>
      <c r="H63" s="57">
        <f>-146413*('2024 IR Data Book'!$A$5)</f>
        <v>-39866.307248270976</v>
      </c>
      <c r="I63" s="57">
        <f>-217221.814012158*(('2024 IR Data Book'!$A$5))</f>
        <v>-59146.602954897884</v>
      </c>
      <c r="J63" s="57">
        <f>-241039*(('2024 IR Data Book'!$A$5))</f>
        <v>-65631.705059086205</v>
      </c>
      <c r="K63" s="57">
        <f>-84606*(('2024 IR Data Book'!$A$5))</f>
        <v>-23037.085443554974</v>
      </c>
      <c r="L63" s="57">
        <f>-129436.380678725*((('2024 IR Data Book'!$A$5)))</f>
        <v>-35243.800217482167</v>
      </c>
      <c r="M63" s="57">
        <f>-189046.512717973*((('2024 IR Data Book'!$A$5)))</f>
        <v>-51474.844175236343</v>
      </c>
      <c r="N63" s="57">
        <f>'[7]C.F Final as Financials'!$C$62*((('2024 IR Data Book'!$A$5)))</f>
        <v>-61611.64584333598</v>
      </c>
      <c r="O63" s="57">
        <f>'[8]C.F Final as Financials'!$C$63*((('2024 IR Data Book'!$A$5)))</f>
        <v>-25049.415583953287</v>
      </c>
      <c r="P63" s="57">
        <f>'[9]C.F Final as Financials'!$C$65*((('2024 IR Data Book'!$A$5)))</f>
        <v>-35885.705642814159</v>
      </c>
      <c r="Q63" s="57">
        <f>'[10]C.F Final as Financials'!$C$66*((('2024 IR Data Book'!$A$5)))</f>
        <v>-45867.994438070185</v>
      </c>
    </row>
    <row r="64" spans="2:19" x14ac:dyDescent="0.2">
      <c r="B64" s="52" t="s">
        <v>182</v>
      </c>
      <c r="C64" s="57">
        <f>-1202*('2024 IR Data Book'!$A$5)</f>
        <v>-327.28856940587048</v>
      </c>
      <c r="D64" s="57">
        <f>-2395*('2024 IR Data Book'!$A$5)</f>
        <v>-652.12655884114793</v>
      </c>
      <c r="E64" s="57">
        <f>-2389*('2024 IR Data Book'!$A$5)</f>
        <v>-650.49283886075261</v>
      </c>
      <c r="F64" s="57">
        <f>-2654*('2024 IR Data Book'!$A$5)</f>
        <v>-722.64880466154762</v>
      </c>
      <c r="G64" s="57">
        <f>-449*('2024 IR Data Book'!$A$5)</f>
        <v>-122.25671186625279</v>
      </c>
      <c r="H64" s="57">
        <f>-740*('2024 IR Data Book'!$A$5)</f>
        <v>-201.49213091542777</v>
      </c>
      <c r="I64" s="57">
        <f>-227.886074387136*(('2024 IR Data Book'!$A$5))</f>
        <v>-62.050338830021239</v>
      </c>
      <c r="J64" s="57">
        <f>-222.952795800571*(('2024 IR Data Book'!$A$5))</f>
        <v>-60.707072864066603</v>
      </c>
      <c r="K64" s="57">
        <f>0*(('2024 IR Data Book'!$A$5))</f>
        <v>0</v>
      </c>
      <c r="L64" s="57">
        <f>-7639.01166936051*((('2024 IR Data Book'!$A$5)))</f>
        <v>-2080.00099911793</v>
      </c>
      <c r="M64" s="57">
        <f>0*((('2024 IR Data Book'!$A$5)))</f>
        <v>0</v>
      </c>
      <c r="N64" s="57">
        <f>'[7]C.F Final as Financials'!$C$63*((('2024 IR Data Book'!$A$5)))</f>
        <v>-0.49206614008563682</v>
      </c>
      <c r="O64" s="57">
        <f>'[8]C.F Final as Financials'!$C$64*((('2024 IR Data Book'!$A$5)))</f>
        <v>0</v>
      </c>
      <c r="P64" s="57">
        <f>'[9]C.F Final as Financials'!$C$66*((('2024 IR Data Book'!$A$5)))</f>
        <v>-105.83401555464599</v>
      </c>
      <c r="Q64" s="57">
        <f>'[10]C.F Final as Financials'!$C$67*((('2024 IR Data Book'!$A$5)))</f>
        <v>-108.93301032230868</v>
      </c>
    </row>
    <row r="65" spans="2:17" hidden="1" x14ac:dyDescent="0.2">
      <c r="B65" s="54" t="s">
        <v>183</v>
      </c>
      <c r="C65" s="57">
        <f>0*('2024 IR Data Book'!$A$5)</f>
        <v>0</v>
      </c>
      <c r="D65" s="57">
        <f>0*('2024 IR Data Book'!$A$5)</f>
        <v>0</v>
      </c>
      <c r="E65" s="57">
        <f>0*('2024 IR Data Book'!$A$5)</f>
        <v>0</v>
      </c>
      <c r="F65" s="57">
        <f>0*('2024 IR Data Book'!$A$5)</f>
        <v>0</v>
      </c>
      <c r="G65" s="57">
        <f>0*('2024 IR Data Book'!$A$5)</f>
        <v>0</v>
      </c>
      <c r="H65" s="57">
        <f>0*('2024 IR Data Book'!$A$5)</f>
        <v>0</v>
      </c>
      <c r="I65" s="57">
        <f>0*(('2024 IR Data Book'!$A$5))</f>
        <v>0</v>
      </c>
      <c r="J65" s="57">
        <f>0*(('2024 IR Data Book'!$A$5))</f>
        <v>0</v>
      </c>
      <c r="K65" s="57">
        <f>0*(('2024 IR Data Book'!$A$5))</f>
        <v>0</v>
      </c>
      <c r="L65" s="57">
        <f>0*((('2024 IR Data Book'!$A$5)))</f>
        <v>0</v>
      </c>
      <c r="M65" s="57">
        <f>0*((('2024 IR Data Book'!$A$5)))</f>
        <v>0</v>
      </c>
      <c r="N65" s="57">
        <f>0*((('2024 IR Data Book'!$A$5)))</f>
        <v>0</v>
      </c>
      <c r="O65" s="57">
        <f>0*((('2024 IR Data Book'!$A$5)))</f>
        <v>0</v>
      </c>
      <c r="P65" s="57">
        <f>0*((('2024 IR Data Book'!$A$5)))</f>
        <v>0</v>
      </c>
      <c r="Q65" s="57">
        <f>0*((('2024 IR Data Book'!$A$5)))</f>
        <v>0</v>
      </c>
    </row>
    <row r="66" spans="2:17" x14ac:dyDescent="0.2">
      <c r="B66" s="54" t="s">
        <v>184</v>
      </c>
      <c r="C66" s="57">
        <f>0*('2024 IR Data Book'!$A$5)</f>
        <v>0</v>
      </c>
      <c r="D66" s="57">
        <f>-190333*('2024 IR Data Book'!$A$5)</f>
        <v>-51825.137504765014</v>
      </c>
      <c r="E66" s="57">
        <f>-190333*('2024 IR Data Book'!$A$5)</f>
        <v>-51825.137504765014</v>
      </c>
      <c r="F66" s="57">
        <f>(E66)*('2024 IR Data Book'!$A$5)</f>
        <v>-14111.29377137859</v>
      </c>
      <c r="G66" s="57">
        <f>0*('2024 IR Data Book'!$A$5)</f>
        <v>0</v>
      </c>
      <c r="H66" s="57">
        <f>-190333*('2024 IR Data Book'!$A$5)</f>
        <v>-51825.137504765014</v>
      </c>
      <c r="I66" s="57">
        <f>-190333*(('2024 IR Data Book'!$A$5))</f>
        <v>-51825.137504765014</v>
      </c>
      <c r="J66" s="57">
        <f>-190333*(('2024 IR Data Book'!$A$5))</f>
        <v>-51825.137504765014</v>
      </c>
      <c r="K66" s="57">
        <f>0*(('2024 IR Data Book'!$A$5))</f>
        <v>0</v>
      </c>
      <c r="L66" s="57">
        <f>-139579.876*((('2024 IR Data Book'!$A$5)))</f>
        <v>-38005.738713717794</v>
      </c>
      <c r="M66" s="57">
        <f>-139579.876*((('2024 IR Data Book'!$A$5)))</f>
        <v>-38005.738713717794</v>
      </c>
      <c r="N66" s="57">
        <f>'[7]C.F Final as Financials'!$C$65*((('2024 IR Data Book'!$A$5)))</f>
        <v>-38005.738713717794</v>
      </c>
      <c r="O66" s="57">
        <f>'[8]C.F Final as Financials'!$C$66*((('2024 IR Data Book'!$A$5)))</f>
        <v>0</v>
      </c>
      <c r="P66" s="57">
        <f>'[9]C.F Final as Financials'!$C$68*((('2024 IR Data Book'!$A$5)))</f>
        <v>0</v>
      </c>
      <c r="Q66" s="57">
        <f>'[10]C.F Final as Financials'!$C$69*((('2024 IR Data Book'!$A$5)))</f>
        <v>0</v>
      </c>
    </row>
    <row r="67" spans="2:17" x14ac:dyDescent="0.2">
      <c r="B67" s="50" t="s">
        <v>185</v>
      </c>
      <c r="C67" s="65">
        <f>0*('2024 IR Data Book'!$A$5)</f>
        <v>0</v>
      </c>
      <c r="D67" s="65">
        <f>0*('2024 IR Data Book'!$A$5)</f>
        <v>0</v>
      </c>
      <c r="E67" s="65">
        <f>0*('2024 IR Data Book'!$A$5)</f>
        <v>0</v>
      </c>
      <c r="F67" s="65">
        <f>0*('2024 IR Data Book'!$A$5)</f>
        <v>0</v>
      </c>
      <c r="G67" s="65">
        <f>0*('2024 IR Data Book'!$A$5)</f>
        <v>0</v>
      </c>
      <c r="H67" s="65">
        <f>0*('2024 IR Data Book'!$A$5)</f>
        <v>0</v>
      </c>
      <c r="I67" s="65">
        <f>0*('2024 IR Data Book'!$A$5)</f>
        <v>0</v>
      </c>
      <c r="J67" s="65">
        <f>0*('2024 IR Data Book'!$A$5)</f>
        <v>0</v>
      </c>
      <c r="K67" s="65">
        <f>0*('2024 IR Data Book'!$A$5)</f>
        <v>0</v>
      </c>
      <c r="L67" s="65">
        <f>0*('2024 IR Data Book'!$A$5)</f>
        <v>0</v>
      </c>
      <c r="M67" s="65">
        <f>-7639.008*((('2024 IR Data Book'!$A$5)))</f>
        <v>-2080</v>
      </c>
      <c r="N67" s="65">
        <f>'[7]C.F Final as Financials'!$C$66*((('2024 IR Data Book'!$A$5)))</f>
        <v>-2080</v>
      </c>
      <c r="O67" s="65">
        <f>'[8]C.F Final as Financials'!$C$67*((('2024 IR Data Book'!$A$5)))</f>
        <v>0</v>
      </c>
      <c r="P67" s="65">
        <f>'[9]C.F Final as Financials'!$C$69*((('2024 IR Data Book'!$A$5)))</f>
        <v>0</v>
      </c>
      <c r="Q67" s="65">
        <f>'[10]C.F Final as Financials'!$C$70*((('2024 IR Data Book'!$A$5)))</f>
        <v>0</v>
      </c>
    </row>
    <row r="68" spans="2:17" ht="15" x14ac:dyDescent="0.25">
      <c r="B68" s="49" t="s">
        <v>186</v>
      </c>
      <c r="C68" s="56">
        <f>SUM(C59:C67)</f>
        <v>-70085.498012307347</v>
      </c>
      <c r="D68" s="56">
        <f t="shared" ref="D68:M68" si="21">SUM(D59:D67)</f>
        <v>-144117.51892392311</v>
      </c>
      <c r="E68" s="56">
        <f t="shared" si="21"/>
        <v>-193559.60355061808</v>
      </c>
      <c r="F68" s="56">
        <f t="shared" si="21"/>
        <v>-251078.29262777459</v>
      </c>
      <c r="G68" s="56">
        <f t="shared" si="21"/>
        <v>-26182.540979142839</v>
      </c>
      <c r="H68" s="56">
        <f t="shared" si="21"/>
        <v>-99646.84419757119</v>
      </c>
      <c r="I68" s="56">
        <f t="shared" si="21"/>
        <v>-123345.96749397067</v>
      </c>
      <c r="J68" s="56">
        <f t="shared" si="21"/>
        <v>130550.96451176036</v>
      </c>
      <c r="K68" s="56">
        <f t="shared" si="21"/>
        <v>-25366.770135598759</v>
      </c>
      <c r="L68" s="56">
        <f t="shared" si="21"/>
        <v>-89474.678525197291</v>
      </c>
      <c r="M68" s="56">
        <f t="shared" si="21"/>
        <v>-114674.76042391176</v>
      </c>
      <c r="N68" s="56">
        <f t="shared" ref="N68:O68" si="22">SUM(N59:N67)</f>
        <v>-137349.88863457466</v>
      </c>
      <c r="O68" s="56">
        <f t="shared" si="22"/>
        <v>-44430.223913196038</v>
      </c>
      <c r="P68" s="56">
        <f t="shared" ref="P68:Q68" si="23">SUM(P59:P67)</f>
        <v>-89274.690412915617</v>
      </c>
      <c r="Q68" s="56">
        <f t="shared" si="23"/>
        <v>-118826.14564152044</v>
      </c>
    </row>
    <row r="69" spans="2:17" x14ac:dyDescent="0.2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2:17" ht="15" x14ac:dyDescent="0.2">
      <c r="B70" s="49" t="s">
        <v>187</v>
      </c>
      <c r="C70" s="68">
        <f t="shared" ref="C70:P70" si="24">C37+C55+C68</f>
        <v>-74733.975929858934</v>
      </c>
      <c r="D70" s="68">
        <f t="shared" si="24"/>
        <v>-65202.036704242229</v>
      </c>
      <c r="E70" s="68">
        <f t="shared" si="24"/>
        <v>-86152.317159505503</v>
      </c>
      <c r="F70" s="68">
        <f t="shared" si="24"/>
        <v>-64728.839923968102</v>
      </c>
      <c r="G70" s="68">
        <f t="shared" si="24"/>
        <v>1708.0907975184709</v>
      </c>
      <c r="H70" s="68">
        <f t="shared" si="24"/>
        <v>-27126.014267821156</v>
      </c>
      <c r="I70" s="68">
        <f t="shared" si="24"/>
        <v>-19527.625541845598</v>
      </c>
      <c r="J70" s="68">
        <f t="shared" si="24"/>
        <v>31126.29598381836</v>
      </c>
      <c r="K70" s="68">
        <f t="shared" si="24"/>
        <v>11412.364127081797</v>
      </c>
      <c r="L70" s="68">
        <f t="shared" si="24"/>
        <v>-38087.507560488717</v>
      </c>
      <c r="M70" s="68">
        <f t="shared" si="24"/>
        <v>-11604.923422518681</v>
      </c>
      <c r="N70" s="68">
        <f t="shared" si="24"/>
        <v>-15567.269390936097</v>
      </c>
      <c r="O70" s="68">
        <f t="shared" si="24"/>
        <v>-1563.2560363335215</v>
      </c>
      <c r="P70" s="68">
        <f t="shared" si="24"/>
        <v>-31430.529182494334</v>
      </c>
      <c r="Q70" s="68">
        <f t="shared" ref="Q70" si="25">Q37+Q55+Q68</f>
        <v>-33369.695992528985</v>
      </c>
    </row>
    <row r="71" spans="2:17" x14ac:dyDescent="0.2"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52" t="s">
        <v>188</v>
      </c>
      <c r="C72" s="65">
        <f>-8408*('2024 IR Data Book'!$A$5)</f>
        <v>-2289.3862658606981</v>
      </c>
      <c r="D72" s="65">
        <f>-10649*('2024 IR Data Book'!$A$5)</f>
        <v>-2899.5806785383652</v>
      </c>
      <c r="E72" s="65">
        <f>-7038*('2024 IR Data Book'!$A$5)</f>
        <v>-1916.3535370037575</v>
      </c>
      <c r="F72" s="65">
        <f>27490*('2024 IR Data Book'!$A$5)</f>
        <v>7485.1603768447421</v>
      </c>
      <c r="G72" s="65">
        <f>-16761*('2024 IR Data Book'!$A$5)</f>
        <v>-4563.7967652344387</v>
      </c>
      <c r="H72" s="65">
        <f>-14043*('2024 IR Data Book'!$A$5)</f>
        <v>-3823.7216141153403</v>
      </c>
      <c r="I72" s="65">
        <f>-19654.6841143637*(('2024 IR Data Book'!$A$5))</f>
        <v>-5351.708357665877</v>
      </c>
      <c r="J72" s="65">
        <f>-45400*(('2024 IR Data Book'!$A$5))</f>
        <v>-12361.814518324893</v>
      </c>
      <c r="K72" s="65">
        <f>1394*(('2024 IR Data Book'!$A$5))</f>
        <v>379.56760877852201</v>
      </c>
      <c r="L72" s="65">
        <f>-974.252448109353*((('2024 IR Data Book'!$A$5)))</f>
        <v>-265.27594840422398</v>
      </c>
      <c r="M72" s="65">
        <f>2822.32992289083*((('2024 IR Data Book'!$A$5)))</f>
        <v>768.48279771574084</v>
      </c>
      <c r="N72" s="65">
        <f>'[7]C.F Final as Financials'!$C$71*((('2024 IR Data Book'!$A$5)))</f>
        <v>-1657.4621877118668</v>
      </c>
      <c r="O72" s="65">
        <f>'[8]C.F Final as Financials'!$C$72*((('2024 IR Data Book'!$A$5)))</f>
        <v>-35.273385586479492</v>
      </c>
      <c r="P72" s="65">
        <f>'[9]C.F Final as Financials'!$C$74*((('2024 IR Data Book'!$A$5)))</f>
        <v>-1718.0877257203779</v>
      </c>
      <c r="Q72" s="65">
        <f>'[10]C.F Final as Financials'!$C$75*((('2024 IR Data Book'!$A$5)))</f>
        <v>-1703.9294924495839</v>
      </c>
    </row>
    <row r="73" spans="2:17" x14ac:dyDescent="0.2">
      <c r="B73" s="52" t="s">
        <v>189</v>
      </c>
      <c r="C73" s="66">
        <f>907428*('2024 IR Data Book'!$A$5)</f>
        <v>247080.54239503347</v>
      </c>
      <c r="D73" s="66">
        <f>907428*('2024 IR Data Book'!$A$5)</f>
        <v>247080.54239503347</v>
      </c>
      <c r="E73" s="66">
        <f>955649*('2024 IR Data Book'!$A$5)</f>
        <v>260210.4775908076</v>
      </c>
      <c r="F73" s="66">
        <f>907428*('2024 IR Data Book'!$A$5)</f>
        <v>247080.54239503347</v>
      </c>
      <c r="G73" s="66">
        <f>558687*('2024 IR Data Book'!$A$5)</f>
        <v>152123.01911452378</v>
      </c>
      <c r="H73" s="66">
        <f>558687*('2024 IR Data Book'!$A$5)</f>
        <v>152123.01911452378</v>
      </c>
      <c r="I73" s="66">
        <f>558686.612170299*(('2024 IR Data Book'!$A$5))</f>
        <v>152122.91351366852</v>
      </c>
      <c r="J73" s="66">
        <f>558686.612170299*(('2024 IR Data Book'!$A$5))</f>
        <v>152122.91351366852</v>
      </c>
      <c r="K73" s="66">
        <f>627600*(('2024 IR Data Book'!$A$5))</f>
        <v>170887.10994935466</v>
      </c>
      <c r="L73" s="66">
        <f>627600.108306456*((('2024 IR Data Book'!$A$5)))</f>
        <v>170887.1394397582</v>
      </c>
      <c r="M73" s="66">
        <f>627600.108306456*((('2024 IR Data Book'!$A$5)))</f>
        <v>170887.1394397582</v>
      </c>
      <c r="N73" s="66">
        <f>'[7]C.F Final as Financials'!$C$72*((('2024 IR Data Book'!$A$5)))</f>
        <v>170887.13943975815</v>
      </c>
      <c r="O73" s="66">
        <f>'[8]C.F Final as Financials'!$C$73*((('2024 IR Data Book'!$A$5)))</f>
        <v>153662.40786111014</v>
      </c>
      <c r="P73" s="66">
        <f>'[9]C.F Final as Financials'!$C$75*((('2024 IR Data Book'!$A$5)))</f>
        <v>153662.40786111014</v>
      </c>
      <c r="Q73" s="66">
        <f>'[10]C.F Final as Financials'!$C$76*((('2024 IR Data Book'!$A$5)))</f>
        <v>153662.40786111014</v>
      </c>
    </row>
    <row r="74" spans="2:17" ht="15" x14ac:dyDescent="0.2">
      <c r="B74" s="49" t="s">
        <v>190</v>
      </c>
      <c r="C74" s="55">
        <f t="shared" ref="C74:H74" si="26">C70+C72+C73</f>
        <v>170057.18019931385</v>
      </c>
      <c r="D74" s="55">
        <f t="shared" si="26"/>
        <v>178978.92501225288</v>
      </c>
      <c r="E74" s="55">
        <f t="shared" si="26"/>
        <v>172141.80689429835</v>
      </c>
      <c r="F74" s="55">
        <f t="shared" si="26"/>
        <v>189836.86284791009</v>
      </c>
      <c r="G74" s="55">
        <f t="shared" si="26"/>
        <v>149267.31314680781</v>
      </c>
      <c r="H74" s="55">
        <f t="shared" si="26"/>
        <v>121173.28323258727</v>
      </c>
      <c r="I74" s="55">
        <f t="shared" ref="I74:J74" si="27">I70+I72+I73</f>
        <v>127243.57961415705</v>
      </c>
      <c r="J74" s="55">
        <f t="shared" si="27"/>
        <v>170887.394979162</v>
      </c>
      <c r="K74" s="55">
        <f t="shared" ref="K74:L74" si="28">K70+K72+K73</f>
        <v>182679.04168521499</v>
      </c>
      <c r="L74" s="55">
        <f t="shared" si="28"/>
        <v>132534.35593086528</v>
      </c>
      <c r="M74" s="55">
        <f t="shared" ref="M74:N74" si="29">M70+M72+M73</f>
        <v>160050.69881495525</v>
      </c>
      <c r="N74" s="55">
        <f t="shared" si="29"/>
        <v>153662.40786111017</v>
      </c>
      <c r="O74" s="55">
        <f t="shared" ref="O74:P74" si="30">O70+O72+O73</f>
        <v>152063.87843919013</v>
      </c>
      <c r="P74" s="55">
        <f t="shared" si="30"/>
        <v>120513.79095289543</v>
      </c>
      <c r="Q74" s="55">
        <f t="shared" ref="Q74" si="31">Q70+Q72+Q73</f>
        <v>118588.78237613157</v>
      </c>
    </row>
    <row r="75" spans="2:17" x14ac:dyDescent="0.2">
      <c r="C75" s="69"/>
      <c r="D75" s="69"/>
      <c r="E75" s="69"/>
      <c r="F75" s="69"/>
      <c r="G75" s="69"/>
      <c r="H75" s="63"/>
      <c r="I75" s="63"/>
      <c r="J75" s="63"/>
      <c r="K75" s="63"/>
      <c r="L75" s="63"/>
      <c r="M75" s="63"/>
      <c r="N75" s="63"/>
      <c r="O75" s="63"/>
      <c r="P75" s="63"/>
      <c r="Q75" s="63"/>
    </row>
    <row r="76" spans="2:17" x14ac:dyDescent="0.2">
      <c r="C76" s="69"/>
      <c r="D76" s="69"/>
      <c r="E76" s="69"/>
      <c r="F76" s="69"/>
      <c r="G76" s="69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2:17" x14ac:dyDescent="0.2">
      <c r="C77" s="130" t="s">
        <v>191</v>
      </c>
      <c r="D77" s="128" t="s">
        <v>192</v>
      </c>
      <c r="E77" s="130" t="s">
        <v>193</v>
      </c>
      <c r="F77" s="130" t="s">
        <v>194</v>
      </c>
      <c r="G77" s="130" t="s">
        <v>195</v>
      </c>
      <c r="H77" s="128" t="s">
        <v>196</v>
      </c>
      <c r="I77" s="128" t="s">
        <v>197</v>
      </c>
      <c r="J77" s="128" t="s">
        <v>198</v>
      </c>
      <c r="K77" s="128" t="s">
        <v>32</v>
      </c>
      <c r="L77" s="128" t="s">
        <v>199</v>
      </c>
      <c r="M77" s="128" t="s">
        <v>200</v>
      </c>
      <c r="N77" s="128" t="s">
        <v>201</v>
      </c>
      <c r="O77" s="128" t="s">
        <v>37</v>
      </c>
      <c r="P77" s="128" t="s">
        <v>334</v>
      </c>
      <c r="Q77" s="128" t="s">
        <v>350</v>
      </c>
    </row>
    <row r="78" spans="2:17" x14ac:dyDescent="0.2">
      <c r="B78" s="71" t="s">
        <v>202</v>
      </c>
      <c r="C78" s="207">
        <f>'Group Profit &amp; Loss Stm'!C8</f>
        <v>387990.25213745027</v>
      </c>
      <c r="D78" s="207">
        <f>'Group Profit &amp; Loss Stm'!D8+'Group Profit &amp; Loss Stm'!C8</f>
        <v>815731.63426455366</v>
      </c>
      <c r="E78" s="207">
        <f>'Group Profit &amp; Loss Stm'!E8+'Group Profit &amp; Loss Stm'!D8+'Group Profit &amp; Loss Stm'!C8+1</f>
        <v>1213653.4533028372</v>
      </c>
      <c r="F78" s="207">
        <f>'Group Profit &amp; Loss Stm'!G8</f>
        <v>1652454.664270544</v>
      </c>
      <c r="G78" s="207">
        <f>'Group Profit &amp; Loss Stm'!H8</f>
        <v>394524.81323773891</v>
      </c>
      <c r="H78" s="207">
        <f>'Group Profit &amp; Loss Stm'!I8+'Group Profit &amp; Loss Stm'!H8</f>
        <v>807471.70401660679</v>
      </c>
      <c r="I78" s="207">
        <f>'Group Profit &amp; Loss Stm'!I8+'Group Profit &amp; Loss Stm'!H8+'Group Profit &amp; Loss Stm'!J8</f>
        <v>1195820.6792087948</v>
      </c>
      <c r="J78" s="207">
        <f>'Group Profit &amp; Loss Stm'!L8</f>
        <v>1613572.1287371344</v>
      </c>
      <c r="K78" s="207">
        <f>'Group Profit &amp; Loss Stm'!M8</f>
        <v>389777.26950933941</v>
      </c>
      <c r="L78" s="207">
        <f>'Group Profit &amp; Loss Stm'!N8+'Group Profit &amp; Loss Stm'!M8</f>
        <v>767939.67586011812</v>
      </c>
      <c r="M78" s="207">
        <f>'Group Profit &amp; Loss Stm'!M8+'Group Profit &amp; Loss Stm'!N8+'Group Profit &amp; Loss Stm'!O8</f>
        <v>1135438.9407545417</v>
      </c>
      <c r="N78" s="207">
        <f>'Group Profit &amp; Loss Stm'!Q8</f>
        <v>1550406.3380746897</v>
      </c>
      <c r="O78" s="207">
        <f>'Group Profit &amp; Loss Stm'!R8</f>
        <v>419512.24133178854</v>
      </c>
      <c r="P78" s="207">
        <f>'Group Profit &amp; Loss Stm'!R8+'Group Profit &amp; Loss Stm'!S8</f>
        <v>826922.44576584827</v>
      </c>
      <c r="Q78" s="207">
        <f>'Group Profit &amp; Loss Stm'!R8+'Group Profit &amp; Loss Stm'!S8+'Group Profit &amp; Loss Stm'!T8</f>
        <v>1260499.773336859</v>
      </c>
    </row>
    <row r="79" spans="2:17" x14ac:dyDescent="0.2">
      <c r="B79" s="71" t="s">
        <v>203</v>
      </c>
      <c r="C79" s="205">
        <f t="shared" ref="C79:P79" si="32">-C40</f>
        <v>9277.8957686652502</v>
      </c>
      <c r="D79" s="205">
        <f t="shared" si="32"/>
        <v>17240.919239775634</v>
      </c>
      <c r="E79" s="205">
        <f t="shared" si="32"/>
        <v>27058.759461961552</v>
      </c>
      <c r="F79" s="205">
        <f t="shared" si="32"/>
        <v>35015.248053150353</v>
      </c>
      <c r="G79" s="205">
        <f t="shared" si="32"/>
        <v>4292.8715351522078</v>
      </c>
      <c r="H79" s="205">
        <f t="shared" si="32"/>
        <v>10625.987039154821</v>
      </c>
      <c r="I79" s="205">
        <f t="shared" si="32"/>
        <v>14324.845790791864</v>
      </c>
      <c r="J79" s="205">
        <f t="shared" si="32"/>
        <v>21549.038828078199</v>
      </c>
      <c r="K79" s="205">
        <f t="shared" si="32"/>
        <v>5534.7710069160812</v>
      </c>
      <c r="L79" s="205">
        <f t="shared" si="32"/>
        <v>19174.170316149048</v>
      </c>
      <c r="M79" s="205">
        <f t="shared" si="32"/>
        <v>24864.555798917063</v>
      </c>
      <c r="N79" s="205">
        <f t="shared" si="32"/>
        <v>34856.222988426525</v>
      </c>
      <c r="O79" s="205">
        <f t="shared" si="32"/>
        <v>7291.6004575693914</v>
      </c>
      <c r="P79" s="205">
        <f t="shared" si="32"/>
        <v>15327.330046839472</v>
      </c>
      <c r="Q79" s="205">
        <f t="shared" ref="Q79" si="33">-Q40</f>
        <v>21585.912565248211</v>
      </c>
    </row>
    <row r="80" spans="2:17" x14ac:dyDescent="0.2">
      <c r="B80" s="71" t="s">
        <v>204</v>
      </c>
      <c r="C80" s="206">
        <f t="shared" ref="C80:H80" si="34">C79/C78</f>
        <v>2.3912703263942937E-2</v>
      </c>
      <c r="D80" s="206">
        <f t="shared" si="34"/>
        <v>2.1135528543427987E-2</v>
      </c>
      <c r="E80" s="206">
        <f t="shared" si="34"/>
        <v>2.2295293098968102E-2</v>
      </c>
      <c r="F80" s="206">
        <f t="shared" si="34"/>
        <v>2.1189838856249293E-2</v>
      </c>
      <c r="G80" s="206">
        <f t="shared" si="34"/>
        <v>1.088111923790543E-2</v>
      </c>
      <c r="H80" s="206">
        <f t="shared" si="34"/>
        <v>1.3159578207258495E-2</v>
      </c>
      <c r="I80" s="206">
        <f t="shared" ref="I80:J80" si="35">I79/I78</f>
        <v>1.1979091882128834E-2</v>
      </c>
      <c r="J80" s="206">
        <f t="shared" si="35"/>
        <v>1.3354865546012869E-2</v>
      </c>
      <c r="K80" s="206">
        <f t="shared" ref="K80:L80" si="36">K79/K78</f>
        <v>1.4199830107803306E-2</v>
      </c>
      <c r="L80" s="206">
        <f t="shared" si="36"/>
        <v>2.4968328787900347E-2</v>
      </c>
      <c r="M80" s="206">
        <f t="shared" ref="M80:N80" si="37">M79/M78</f>
        <v>2.1898628720971675E-2</v>
      </c>
      <c r="N80" s="206">
        <f t="shared" si="37"/>
        <v>2.2481992063907153E-2</v>
      </c>
      <c r="O80" s="206">
        <f t="shared" ref="O80:P80" si="38">O79/O78</f>
        <v>1.7381138711045453E-2</v>
      </c>
      <c r="P80" s="206">
        <f t="shared" si="38"/>
        <v>1.8535390017916584E-2</v>
      </c>
      <c r="Q80" s="206">
        <f t="shared" ref="Q80" si="39">Q79/Q78</f>
        <v>1.712488413076417E-2</v>
      </c>
    </row>
    <row r="81" spans="2:2" x14ac:dyDescent="0.2">
      <c r="B81" s="71"/>
    </row>
    <row r="85" spans="2:2" x14ac:dyDescent="0.2">
      <c r="B85" s="71"/>
    </row>
  </sheetData>
  <pageMargins left="0.7" right="0.7" top="0.75" bottom="0.75" header="0.3" footer="0.3"/>
  <pageSetup orientation="portrait" horizontalDpi="1200" verticalDpi="1200" r:id="rId1"/>
  <ignoredErrors>
    <ignoredError sqref="E73 C49:H49 C17:F20 F54 C53:F53 C51:F51 C50:F50 C48:I48 K18:M18 J47 J49 D66 E66:F66 H66 L43:M43 L45:M4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AC27"/>
  <sheetViews>
    <sheetView showGridLines="0" zoomScaleNormal="100" workbookViewId="0">
      <pane xSplit="2" ySplit="5" topLeftCell="S12" activePane="bottomRight" state="frozen"/>
      <selection pane="topRight" activeCell="B7" sqref="B7"/>
      <selection pane="bottomLeft" activeCell="B7" sqref="B7"/>
      <selection pane="bottomRight" activeCell="V17" sqref="V17"/>
    </sheetView>
  </sheetViews>
  <sheetFormatPr defaultColWidth="9.140625" defaultRowHeight="12.75" x14ac:dyDescent="0.2"/>
  <cols>
    <col min="1" max="1" width="6.28515625" style="20" customWidth="1"/>
    <col min="2" max="2" width="35.8554687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2" width="12.7109375" style="20" customWidth="1"/>
    <col min="13" max="13" width="12.7109375" style="20" bestFit="1" customWidth="1"/>
    <col min="14" max="20" width="12.7109375" style="20" customWidth="1"/>
    <col min="21" max="21" width="13.140625" style="20" customWidth="1"/>
    <col min="22" max="22" width="10" style="20" bestFit="1" customWidth="1"/>
    <col min="23" max="23" width="12" style="20" customWidth="1"/>
    <col min="24" max="24" width="10" style="20" bestFit="1" customWidth="1"/>
    <col min="25" max="25" width="10.140625" style="20" customWidth="1"/>
    <col min="26" max="26" width="11" style="20" bestFit="1" customWidth="1"/>
    <col min="27" max="27" width="11.5703125" style="89" bestFit="1" customWidth="1"/>
    <col min="28" max="28" width="11" style="20" bestFit="1" customWidth="1"/>
    <col min="29" max="29" width="13.140625" style="20" bestFit="1" customWidth="1"/>
    <col min="30" max="16384" width="9.140625" style="20"/>
  </cols>
  <sheetData>
    <row r="1" spans="1:29" x14ac:dyDescent="0.2">
      <c r="A1" s="162">
        <f>'2024 IR Data Book'!$A$5</f>
        <v>0.27228666339922669</v>
      </c>
    </row>
    <row r="2" spans="1:29" x14ac:dyDescent="0.2">
      <c r="A2" s="162"/>
    </row>
    <row r="3" spans="1:29" ht="15" x14ac:dyDescent="0.25">
      <c r="B3" s="70"/>
    </row>
    <row r="4" spans="1:29" ht="14.25" customHeight="1" x14ac:dyDescent="0.2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175" t="s">
        <v>21</v>
      </c>
      <c r="V4" s="175"/>
      <c r="W4" s="175" t="s">
        <v>21</v>
      </c>
      <c r="X4" s="175"/>
    </row>
    <row r="5" spans="1:29" ht="24.75" customHeight="1" x14ac:dyDescent="0.2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332</v>
      </c>
      <c r="T5" s="202" t="s">
        <v>342</v>
      </c>
      <c r="U5" s="75" t="s">
        <v>344</v>
      </c>
      <c r="V5" s="202" t="s">
        <v>38</v>
      </c>
      <c r="W5" s="267" t="s">
        <v>343</v>
      </c>
      <c r="X5" s="202" t="s">
        <v>38</v>
      </c>
    </row>
    <row r="6" spans="1:29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9" ht="15" x14ac:dyDescent="0.25">
      <c r="B7" s="180" t="s">
        <v>202</v>
      </c>
      <c r="C7" s="184">
        <f>1002142.34808517*('2024 IR Data Book'!$A$5)</f>
        <v>272869.99621117738</v>
      </c>
      <c r="D7" s="184">
        <f>1100781.67756688*('2024 IR Data Book'!$A$5)</f>
        <v>299728.17011568911</v>
      </c>
      <c r="E7" s="184">
        <f>1069651.75737739*(('2024 IR Data Book'!$A$5))</f>
        <v>291251.90801540873</v>
      </c>
      <c r="F7" s="184">
        <f>1097153.77672902*(('2024 IR Data Book'!$A$5))</f>
        <v>298740.34110140498</v>
      </c>
      <c r="G7" s="184">
        <f>C7+D7+E7+F7</f>
        <v>1162590.4154436802</v>
      </c>
      <c r="H7" s="184">
        <f>935616.886*(('2024 IR Data Book'!$A$5))</f>
        <v>254756.00010891465</v>
      </c>
      <c r="I7" s="184">
        <f>960926.278826837*((('2024 IR Data Book'!$A$5)))</f>
        <v>261647.4102343944</v>
      </c>
      <c r="J7" s="184">
        <f>((913035.345530228-24524.9339228929-24763.2105341343))*(('2024 IR Data Book'!$A$5))</f>
        <v>235186.8434006428</v>
      </c>
      <c r="K7" s="184">
        <f>(L7-H7-I7-J7)</f>
        <v>268277.88530551043</v>
      </c>
      <c r="L7" s="184">
        <f>'[11]Summary Per Product-22 Vs 21'!$C$5*3.6726*(('2024 IR Data Book'!$A$5))</f>
        <v>1019868.1390494623</v>
      </c>
      <c r="M7" s="184">
        <f>928233.120686088*(('2024 IR Data Book'!$A$5))</f>
        <v>252745.49928826661</v>
      </c>
      <c r="N7" s="184">
        <f>912426.259611566*((('2024 IR Data Book'!$A$5)))</f>
        <v>248441.50182746988</v>
      </c>
      <c r="O7" s="184">
        <f>864547.811795426*(((('2024 IR Data Book'!$A$5))))</f>
        <v>235404.83902287914</v>
      </c>
      <c r="P7" s="184">
        <f>'[12]Summary Per Product-23 Vs 22'!$C$5*3.6726*(((('2024 IR Data Book'!$A$5))))</f>
        <v>277069.17126522231</v>
      </c>
      <c r="Q7" s="184">
        <f>SUM(M7:P7)</f>
        <v>1013661.0114038379</v>
      </c>
      <c r="R7" s="184">
        <f>'[13]Summary Per Product-24 Vs 23'!$C$5*3.6726*(((('2024 IR Data Book'!$A$5))))</f>
        <v>279368.72731729213</v>
      </c>
      <c r="S7" s="184">
        <f>'[14]Summary Per Product-24 Vs 23'!$C$5*3.6726*(((('2024 IR Data Book'!$A$5))))</f>
        <v>262858.41802154307</v>
      </c>
      <c r="T7" s="184">
        <f>'[15]Summary Per Product-24 Vs 23'!$C$5*3.6726*(((('2024 IR Data Book'!$A$5))))</f>
        <v>275268.84920073079</v>
      </c>
      <c r="U7" s="185">
        <f>T7-O7</f>
        <v>39864.010177851655</v>
      </c>
      <c r="V7" s="186">
        <f>U7/O7</f>
        <v>0.1693423565263977</v>
      </c>
      <c r="W7" s="185">
        <f>(R7+S7+T7)-(M7+N7+O7)</f>
        <v>80904.154400950414</v>
      </c>
      <c r="X7" s="186">
        <f>W7/(M7+N7+O7)</f>
        <v>0.10983580049668411</v>
      </c>
      <c r="Z7" s="209"/>
      <c r="AB7" s="239"/>
      <c r="AC7" s="89"/>
    </row>
    <row r="8" spans="1:29" ht="15" x14ac:dyDescent="0.25">
      <c r="B8" s="181" t="s">
        <v>205</v>
      </c>
      <c r="C8" s="187">
        <f>717028.001907232*('2024 IR Data Book'!$A$5)</f>
        <v>195237.16220313456</v>
      </c>
      <c r="D8" s="187">
        <f>775480.325927456*('2024 IR Data Book'!$A$5)</f>
        <v>211152.95047853183</v>
      </c>
      <c r="E8" s="187">
        <f>747513.363608859*(('2024 IR Data Book'!$A$5))</f>
        <v>203537.91962338914</v>
      </c>
      <c r="F8" s="187">
        <f>827660.140224345*(('2024 IR Data Book'!$A$5))</f>
        <v>225360.81801022301</v>
      </c>
      <c r="G8" s="187">
        <f>C8+D8+E8+F8</f>
        <v>835288.85031527851</v>
      </c>
      <c r="H8" s="187">
        <f>665068.356508206*(('2024 IR Data Book'!$A$5))</f>
        <v>181089.24372602679</v>
      </c>
      <c r="I8" s="187">
        <f>678187.381940867*((('2024 IR Data Book'!$A$5)))</f>
        <v>184661.37938813565</v>
      </c>
      <c r="J8" s="187">
        <f>(643262.5889205-11183.4452050221-9074.07272047409)*(('2024 IR Data Book'!$A$5))</f>
        <v>169635.97206202793</v>
      </c>
      <c r="K8" s="187">
        <f>(L8-H8-I8-J8)</f>
        <v>189426.87622943529</v>
      </c>
      <c r="L8" s="187">
        <f>'[11]Summary Per Product-22 Vs 21'!$C$9*3.6726*(('2024 IR Data Book'!$A$5))</f>
        <v>724813.47140562558</v>
      </c>
      <c r="M8" s="187">
        <f>656801.046732577*(('2024 IR Data Book'!$A$5))</f>
        <v>178838.16553193296</v>
      </c>
      <c r="N8" s="187">
        <f>649510.965100682*((('2024 IR Data Book'!$A$5)))</f>
        <v>176853.17352847627</v>
      </c>
      <c r="O8" s="187">
        <f>609873.435747044*(((('2024 IR Data Book'!$A$5))))</f>
        <v>166060.40291538529</v>
      </c>
      <c r="P8" s="187">
        <f>'[12]Summary Per Product-23 Vs 22'!$C$9*3.6726*(((('2024 IR Data Book'!$A$5))))</f>
        <v>194281.58529348005</v>
      </c>
      <c r="Q8" s="187">
        <f>SUM(M8:P8)</f>
        <v>716033.32726927462</v>
      </c>
      <c r="R8" s="187">
        <f>'[13]Summary Per Product-24 Vs 23'!$C$9*3.6726*(((('2024 IR Data Book'!$A$5))))</f>
        <v>193885.16547505738</v>
      </c>
      <c r="S8" s="187">
        <f>'[14]Summary Per Product-24 Vs 23'!$C$9*3.6726*(((('2024 IR Data Book'!$A$5))))</f>
        <v>189466.36136942264</v>
      </c>
      <c r="T8" s="187">
        <f>'[15]Summary Per Product-24 Vs 23'!$C$9*3.6726*(((('2024 IR Data Book'!$A$5))))</f>
        <v>197042.61617562242</v>
      </c>
      <c r="U8" s="188">
        <f>T8-O8</f>
        <v>30982.213260237128</v>
      </c>
      <c r="V8" s="189">
        <f>U8/O8</f>
        <v>0.18657195042471297</v>
      </c>
      <c r="W8" s="188">
        <f>(R8+S8+T8)-(M8+N8+O8)</f>
        <v>58642.401044307859</v>
      </c>
      <c r="X8" s="189">
        <f>W8/(M8+N8+O8)</f>
        <v>0.11239521850418362</v>
      </c>
      <c r="Z8" s="209"/>
      <c r="AB8" s="239"/>
    </row>
    <row r="9" spans="1:29" ht="15" x14ac:dyDescent="0.25">
      <c r="B9" s="183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9"/>
      <c r="W9" s="187"/>
      <c r="X9" s="189"/>
      <c r="Z9" s="209"/>
    </row>
    <row r="10" spans="1:29" ht="15" x14ac:dyDescent="0.25">
      <c r="B10" s="180" t="s">
        <v>206</v>
      </c>
      <c r="C10" s="184">
        <f t="shared" ref="C10:I10" si="0">C7-C8</f>
        <v>77632.834008042817</v>
      </c>
      <c r="D10" s="184">
        <f t="shared" si="0"/>
        <v>88575.219637157279</v>
      </c>
      <c r="E10" s="184">
        <f t="shared" si="0"/>
        <v>87713.988392019586</v>
      </c>
      <c r="F10" s="184">
        <f t="shared" ref="F10:G10" si="1">F7-F8</f>
        <v>73379.523091181967</v>
      </c>
      <c r="G10" s="184">
        <f t="shared" si="1"/>
        <v>327301.56512840174</v>
      </c>
      <c r="H10" s="184">
        <f t="shared" si="0"/>
        <v>73666.756382887863</v>
      </c>
      <c r="I10" s="184">
        <f t="shared" si="0"/>
        <v>76986.030846258742</v>
      </c>
      <c r="J10" s="184">
        <f t="shared" ref="J10" si="2">J7-J8</f>
        <v>65550.871338614874</v>
      </c>
      <c r="K10" s="184">
        <f>(L10-H10-I10-J10)</f>
        <v>78851.009076075221</v>
      </c>
      <c r="L10" s="184">
        <f t="shared" ref="L10" si="3">L7-L8</f>
        <v>295054.6676438367</v>
      </c>
      <c r="M10" s="184">
        <f t="shared" ref="M10:N10" si="4">M7-M8</f>
        <v>73907.333756333654</v>
      </c>
      <c r="N10" s="184">
        <f t="shared" si="4"/>
        <v>71588.328298993612</v>
      </c>
      <c r="O10" s="184">
        <f t="shared" ref="O10:Q10" si="5">O7-O8</f>
        <v>69344.43610749385</v>
      </c>
      <c r="P10" s="184">
        <f t="shared" si="5"/>
        <v>82787.585971742257</v>
      </c>
      <c r="Q10" s="184">
        <f t="shared" si="5"/>
        <v>297627.68413456331</v>
      </c>
      <c r="R10" s="184">
        <f t="shared" ref="R10:S10" si="6">R7-R8</f>
        <v>85483.561842234747</v>
      </c>
      <c r="S10" s="184">
        <f t="shared" si="6"/>
        <v>73392.056652120431</v>
      </c>
      <c r="T10" s="184">
        <f t="shared" ref="T10" si="7">T7-T8</f>
        <v>78226.233025108377</v>
      </c>
      <c r="U10" s="185">
        <f>T10-O10</f>
        <v>8881.796917614527</v>
      </c>
      <c r="V10" s="186">
        <f>U10/O10</f>
        <v>0.1280823295447448</v>
      </c>
      <c r="W10" s="185">
        <f>(R10+S10+T10)-(M10+N10+O10)</f>
        <v>22261.753356642439</v>
      </c>
      <c r="X10" s="186">
        <f>W10/(M10+N10+O10)</f>
        <v>0.10362010419382185</v>
      </c>
      <c r="Z10" s="209"/>
      <c r="AB10" s="239"/>
    </row>
    <row r="11" spans="1:29" ht="15" x14ac:dyDescent="0.25">
      <c r="B11" s="182" t="s">
        <v>207</v>
      </c>
      <c r="C11" s="190">
        <f t="shared" ref="C11:I11" si="8">C10/C7</f>
        <v>0.28450483778349095</v>
      </c>
      <c r="D11" s="190">
        <f t="shared" si="8"/>
        <v>0.2955185013239463</v>
      </c>
      <c r="E11" s="190">
        <f t="shared" si="8"/>
        <v>0.30116193569238031</v>
      </c>
      <c r="F11" s="190">
        <f t="shared" ref="F11:G11" si="9">F10/F7</f>
        <v>0.24562977608127551</v>
      </c>
      <c r="G11" s="190">
        <f t="shared" si="9"/>
        <v>0.28152783713040797</v>
      </c>
      <c r="H11" s="190">
        <f t="shared" si="8"/>
        <v>0.28916593270185376</v>
      </c>
      <c r="I11" s="190">
        <f t="shared" si="8"/>
        <v>0.29423578386383231</v>
      </c>
      <c r="J11" s="190">
        <f t="shared" ref="J11:K11" si="10">J10/J7</f>
        <v>0.27871827518407738</v>
      </c>
      <c r="K11" s="190">
        <f t="shared" si="10"/>
        <v>0.29391542648504548</v>
      </c>
      <c r="L11" s="190">
        <f t="shared" ref="L11" si="11">L10/L7</f>
        <v>0.28930668225289752</v>
      </c>
      <c r="M11" s="190">
        <f t="shared" ref="M11:N11" si="12">M10/M7</f>
        <v>0.29241800136681884</v>
      </c>
      <c r="N11" s="190">
        <f t="shared" si="12"/>
        <v>0.28814963591996035</v>
      </c>
      <c r="O11" s="190">
        <f t="shared" ref="O11:Q11" si="13">O10/O7</f>
        <v>0.29457523641115219</v>
      </c>
      <c r="P11" s="190">
        <f t="shared" si="13"/>
        <v>0.29879753706880108</v>
      </c>
      <c r="Q11" s="190">
        <f t="shared" si="13"/>
        <v>0.29361658462366352</v>
      </c>
      <c r="R11" s="190">
        <f t="shared" ref="R11:S11" si="14">R10/R7</f>
        <v>0.30598829963221713</v>
      </c>
      <c r="S11" s="190">
        <f t="shared" si="14"/>
        <v>0.27920755669352559</v>
      </c>
      <c r="T11" s="190">
        <f t="shared" ref="T11" si="15">T10/T7</f>
        <v>0.28418120412914744</v>
      </c>
      <c r="U11" s="190"/>
      <c r="V11" s="190"/>
      <c r="W11" s="190"/>
      <c r="X11" s="190"/>
      <c r="Z11" s="209"/>
    </row>
    <row r="12" spans="1:29" ht="15" x14ac:dyDescent="0.25">
      <c r="B12" s="79" t="s">
        <v>208</v>
      </c>
      <c r="C12" s="191">
        <f>223548.286214403*('2024 IR Data Book'!$A$5)</f>
        <v>60869.216961935133</v>
      </c>
      <c r="D12" s="191">
        <f>225862.194456106*('2024 IR Data Book'!$A$5)</f>
        <v>61499.263316480421</v>
      </c>
      <c r="E12" s="191">
        <f>275607.908898911*(('2024 IR Data Book'!$A$5))</f>
        <v>75044.357920522511</v>
      </c>
      <c r="F12" s="191">
        <f>241119.056582815*(('2024 IR Data Book'!$A$5))</f>
        <v>65653.503398904053</v>
      </c>
      <c r="G12" s="191">
        <f>C12+D12+E12+F12</f>
        <v>263066.34159784211</v>
      </c>
      <c r="H12" s="191">
        <f>223985.320788361*(('2024 IR Data Book'!$A$5))</f>
        <v>60988.215647868259</v>
      </c>
      <c r="I12" s="191">
        <f>238043.467110935*((('2024 IR Data Book'!$A$5)))</f>
        <v>64816.061403620042</v>
      </c>
      <c r="J12" s="191">
        <f>(256404.184936925-14618.8447945164-14468.717003717)*(('2024 IR Data Book'!$A$5))</f>
        <v>61895.284849613789</v>
      </c>
      <c r="K12" s="191">
        <f>(L12-H12-I12-J12)</f>
        <v>69645.244977563038</v>
      </c>
      <c r="L12" s="191">
        <f>'[11]Summary Per Product-22 Vs 21'!$C$15*3.6726*(('2024 IR Data Book'!$A$5))</f>
        <v>257344.80687866514</v>
      </c>
      <c r="M12" s="191">
        <f>234187.867171094*(('2024 IR Data Book'!$A$5))</f>
        <v>63766.232960598485</v>
      </c>
      <c r="N12" s="191">
        <f>232843.735612062*((('2024 IR Data Book'!$A$5)))</f>
        <v>63400.243863220065</v>
      </c>
      <c r="O12" s="191">
        <f>227029.018945017*(((('2024 IR Data Book'!$A$5))))</f>
        <v>61816.974063338501</v>
      </c>
      <c r="P12" s="191">
        <f>'[12]Summary Per Product-23 Vs 22'!$C$15*3.6726*(((('2024 IR Data Book'!$A$5))))</f>
        <v>63571.760090458964</v>
      </c>
      <c r="Q12" s="191">
        <f>SUM(M12:P12)</f>
        <v>252555.21097761602</v>
      </c>
      <c r="R12" s="191">
        <f>'[13]Summary Per Product-24 Vs 23'!$C$15*3.6726*(((('2024 IR Data Book'!$A$5))))</f>
        <v>65171.634319815748</v>
      </c>
      <c r="S12" s="191">
        <f>'[14]Summary Per Product-24 Vs 23'!$C$15*3.6726*(((('2024 IR Data Book'!$A$5))))</f>
        <v>65980.393385814474</v>
      </c>
      <c r="T12" s="191">
        <f>'[15]Summary Per Product-24 Vs 23'!$C$15*3.6726*(((('2024 IR Data Book'!$A$5))))</f>
        <v>67248.550559012321</v>
      </c>
      <c r="U12" s="192">
        <f>T12-O12</f>
        <v>5431.5764956738203</v>
      </c>
      <c r="V12" s="189">
        <f>U12/O12</f>
        <v>8.7865454075907276E-2</v>
      </c>
      <c r="W12" s="192">
        <f>(R12+S12+T12)-(M12+N12+O12)</f>
        <v>9417.1273774855072</v>
      </c>
      <c r="X12" s="189">
        <f>W12/(M12+N12+O12)</f>
        <v>4.9830434005083968E-2</v>
      </c>
      <c r="Z12" s="209"/>
      <c r="AB12" s="239"/>
    </row>
    <row r="13" spans="1:29" ht="15" x14ac:dyDescent="0.25">
      <c r="B13" s="80" t="s">
        <v>209</v>
      </c>
      <c r="C13" s="193">
        <f>67793.5305039601*('2024 IR Data Book'!$A$5)</f>
        <v>18459.274220976989</v>
      </c>
      <c r="D13" s="193">
        <f>104626.763731849*('2024 IR Data Book'!$A$5)</f>
        <v>28488.472398804388</v>
      </c>
      <c r="E13" s="193">
        <f>42423.4319606453*(('2024 IR Data Book'!$A$5))</f>
        <v>11551.334738508222</v>
      </c>
      <c r="F13" s="193">
        <f>37379.9776700221*(('2024 IR Data Book'!$A$5))</f>
        <v>10178.069397707917</v>
      </c>
      <c r="G13" s="193">
        <f>C13+D13+E13+F13</f>
        <v>68677.150755997514</v>
      </c>
      <c r="H13" s="193">
        <f>(51221.864021735)*(('2024 IR Data Book'!$A$5))</f>
        <v>13947.030447567116</v>
      </c>
      <c r="I13" s="193">
        <f>40621.4865499611*((('2024 IR Data Book'!$A$5)))</f>
        <v>11060.689035005471</v>
      </c>
      <c r="J13" s="193">
        <f>(20147.1087077667--1224.86420941922-512.846680396088)*(('2024 IR Data Book'!$A$5))</f>
        <v>5679.6618844387722</v>
      </c>
      <c r="K13" s="193">
        <f>(L13-H13-I13-J13)</f>
        <v>8111.5876495654538</v>
      </c>
      <c r="L13" s="193">
        <f>'[11]Summary Per Product-22 Vs 21'!$C$21*3.6726*(('2024 IR Data Book'!$A$5))</f>
        <v>38798.969016576812</v>
      </c>
      <c r="M13" s="193">
        <f>37804.83291688*(('2024 IR Data Book'!$A$5))</f>
        <v>10293.751815302508</v>
      </c>
      <c r="N13" s="193">
        <f>30286.0226548901*((('2024 IR Data Book'!$A$5)))</f>
        <v>8246.4800563334156</v>
      </c>
      <c r="O13" s="193">
        <f>26387.314747738*(((('2024 IR Data Book'!$A$5))))</f>
        <v>7184.9138887267873</v>
      </c>
      <c r="P13" s="193">
        <f>'[12]Summary Per Product-23 Vs 22'!$C$18*3.6726*(((('2024 IR Data Book'!$A$5))))</f>
        <v>19985.173051549893</v>
      </c>
      <c r="Q13" s="193">
        <f>SUM(M13:P13)</f>
        <v>45710.318811912599</v>
      </c>
      <c r="R13" s="193">
        <f>'[13]Summary Per Product-24 Vs 23'!$C$18*3.6726*(((('2024 IR Data Book'!$A$5))))</f>
        <v>21439.245537601393</v>
      </c>
      <c r="S13" s="193">
        <f>'[14]Summary Per Product-24 Vs 23'!$C$18*3.6726*(((('2024 IR Data Book'!$A$5))))</f>
        <v>8328.9491392935906</v>
      </c>
      <c r="T13" s="193">
        <f>'[15]Summary Per Product-24 Vs 23'!$C$18*3.6726*(((('2024 IR Data Book'!$A$5))))</f>
        <v>11754.558475360833</v>
      </c>
      <c r="U13" s="193">
        <f>T13-O13</f>
        <v>4569.6445866340455</v>
      </c>
      <c r="V13" s="194">
        <f>U13/O13</f>
        <v>0.63600547722692546</v>
      </c>
      <c r="W13" s="193">
        <f>(R13+S13+T13)-(M13+N13+O13)</f>
        <v>15797.607391893111</v>
      </c>
      <c r="X13" s="194">
        <f>W13/(M13+N13+O13)</f>
        <v>0.61409204593250766</v>
      </c>
      <c r="Z13" s="209"/>
      <c r="AB13" s="239"/>
    </row>
    <row r="14" spans="1:29" ht="15" x14ac:dyDescent="0.25">
      <c r="B14" s="70" t="s">
        <v>210</v>
      </c>
      <c r="C14" s="190">
        <f t="shared" ref="C14:I14" si="16">C13/C7</f>
        <v>6.7648603647471509E-2</v>
      </c>
      <c r="D14" s="190">
        <f t="shared" si="16"/>
        <v>9.5047697344591953E-2</v>
      </c>
      <c r="E14" s="190">
        <f t="shared" si="16"/>
        <v>3.9660975329634911E-2</v>
      </c>
      <c r="F14" s="190">
        <f t="shared" ref="F14:G14" si="17">F13/F7</f>
        <v>3.4069953057505063E-2</v>
      </c>
      <c r="G14" s="190">
        <f t="shared" si="17"/>
        <v>5.9072524462356078E-2</v>
      </c>
      <c r="H14" s="190">
        <f t="shared" si="16"/>
        <v>5.4746622028939089E-2</v>
      </c>
      <c r="I14" s="190">
        <f t="shared" si="16"/>
        <v>4.2273260129335334E-2</v>
      </c>
      <c r="J14" s="190">
        <f t="shared" ref="J14:K14" si="18">J13/J7</f>
        <v>2.4149573174735033E-2</v>
      </c>
      <c r="K14" s="190">
        <f t="shared" si="18"/>
        <v>3.0235767067897198E-2</v>
      </c>
      <c r="L14" s="190">
        <f t="shared" ref="L14" si="19">L13/L7</f>
        <v>3.8043122959736969E-2</v>
      </c>
      <c r="M14" s="190">
        <f t="shared" ref="M14:N14" si="20">M13/M7</f>
        <v>4.0727735387137642E-2</v>
      </c>
      <c r="N14" s="190">
        <f t="shared" si="20"/>
        <v>3.3192844173274165E-2</v>
      </c>
      <c r="O14" s="190">
        <f t="shared" ref="O14:Q14" si="21">O13/O7</f>
        <v>3.0521521641398718E-2</v>
      </c>
      <c r="P14" s="190">
        <f t="shared" si="21"/>
        <v>7.2130627021002064E-2</v>
      </c>
      <c r="Q14" s="190">
        <f t="shared" si="21"/>
        <v>4.5094285266637148E-2</v>
      </c>
      <c r="R14" s="190">
        <f t="shared" ref="R14:S14" si="22">R13/R7</f>
        <v>7.6741751818383885E-2</v>
      </c>
      <c r="S14" s="190">
        <f t="shared" si="22"/>
        <v>3.1686065837202806E-2</v>
      </c>
      <c r="T14" s="190">
        <f t="shared" ref="T14" si="23">T13/T7</f>
        <v>4.2702101997706271E-2</v>
      </c>
      <c r="U14" s="190"/>
      <c r="V14" s="190"/>
      <c r="W14" s="190"/>
      <c r="X14" s="190"/>
      <c r="Z14" s="209"/>
    </row>
    <row r="15" spans="1:29" ht="15" x14ac:dyDescent="0.25">
      <c r="B15" s="80" t="s">
        <v>211</v>
      </c>
      <c r="C15" s="193">
        <f>126971.790482873*('2024 IR Data Book'!$A$5)</f>
        <v>34572.725176407177</v>
      </c>
      <c r="D15" s="193">
        <f>164433.595675243*('2024 IR Data Book'!$A$5)</f>
        <v>44773.075117149434</v>
      </c>
      <c r="E15" s="193">
        <f>113372.50878968*(('2024 IR Data Book'!$A$5))</f>
        <v>30869.822139541466</v>
      </c>
      <c r="F15" s="193">
        <f>97527.4515491813*(('2024 IR Data Book'!$A$5))</f>
        <v>26555.424372156322</v>
      </c>
      <c r="G15" s="193">
        <f>C15+D15+E15+F15</f>
        <v>136771.04680525442</v>
      </c>
      <c r="H15" s="193">
        <f>113734.680171326*(('2024 IR Data Book'!$A$5))</f>
        <v>30968.436576628548</v>
      </c>
      <c r="I15" s="193">
        <f>102064.863900749*((('2024 IR Data Book'!$A$5)))</f>
        <v>27790.901241831125</v>
      </c>
      <c r="J15" s="193">
        <f>(89569.4117087153-1863.82273672026-3665.89453247584)*(('2024 IR Data Book'!$A$5))</f>
        <v>22882.887992027227</v>
      </c>
      <c r="K15" s="193">
        <f>(L15-H15-I15-J15)</f>
        <v>25215.119300340488</v>
      </c>
      <c r="L15" s="193">
        <f>'[11]Summary Per Product-22 Vs 21'!$C$31*3.6726*(('2024 IR Data Book'!$A$5))</f>
        <v>106857.34511082739</v>
      </c>
      <c r="M15" s="193">
        <f>97445.6676906999*(('2024 IR Data Book'!$A$5))</f>
        <v>26533.155718210506</v>
      </c>
      <c r="N15" s="193">
        <f>91549.3736928258*((('2024 IR Data Book'!$A$5)))</f>
        <v>24927.673499108478</v>
      </c>
      <c r="O15" s="193">
        <f>85837.3159672989*(((('2024 IR Data Book'!$A$5))))</f>
        <v>23372.356359880981</v>
      </c>
      <c r="P15" s="193">
        <f>'[12]Summary Per Product-23 Vs 22'!$C$22*3.6726*(((('2024 IR Data Book'!$A$5))))</f>
        <v>36382.353702548869</v>
      </c>
      <c r="Q15" s="193">
        <f>SUM(M15:P15)</f>
        <v>111215.53927974883</v>
      </c>
      <c r="R15" s="193">
        <f>'[13]Summary Per Product-24 Vs 23'!$C$22*3.6726*(((('2024 IR Data Book'!$A$5))))</f>
        <v>37282.421737888712</v>
      </c>
      <c r="S15" s="193">
        <f>'[14]Summary Per Product-24 Vs 23'!$C$22*3.6726*(((('2024 IR Data Book'!$A$5))))</f>
        <v>24134.029439881473</v>
      </c>
      <c r="T15" s="193">
        <f>'[15]Summary Per Product-24 Vs 23'!$C$22*3.6726*(((('2024 IR Data Book'!$A$5))))</f>
        <v>27667.240593222879</v>
      </c>
      <c r="U15" s="193">
        <f>T15-O15</f>
        <v>4294.8842333418979</v>
      </c>
      <c r="V15" s="194">
        <f>U15/O15</f>
        <v>0.18375914551406269</v>
      </c>
      <c r="W15" s="193">
        <f>(R15+S15+T15)-(M15+N15+O15)</f>
        <v>14250.506193793088</v>
      </c>
      <c r="X15" s="194">
        <f>W15/(M15+N15+O15)</f>
        <v>0.19043030286465454</v>
      </c>
      <c r="Z15" s="209"/>
      <c r="AB15" s="239"/>
    </row>
    <row r="16" spans="1:29" ht="15" x14ac:dyDescent="0.25">
      <c r="B16" s="70" t="s">
        <v>212</v>
      </c>
      <c r="C16" s="190">
        <f t="shared" ref="C16:I16" si="24">C15/C7</f>
        <v>0.12670035422161596</v>
      </c>
      <c r="D16" s="190">
        <f t="shared" si="24"/>
        <v>0.14937893592006357</v>
      </c>
      <c r="E16" s="190">
        <f t="shared" si="24"/>
        <v>0.10599011127476732</v>
      </c>
      <c r="F16" s="190">
        <f t="shared" ref="F16:G16" si="25">F15/F7</f>
        <v>8.8891323730337105E-2</v>
      </c>
      <c r="G16" s="190">
        <f t="shared" si="25"/>
        <v>0.11764336346524788</v>
      </c>
      <c r="H16" s="190">
        <f t="shared" si="24"/>
        <v>0.12156116661978032</v>
      </c>
      <c r="I16" s="190">
        <f t="shared" si="24"/>
        <v>0.1062150824154342</v>
      </c>
      <c r="J16" s="190">
        <f t="shared" ref="J16:K16" si="26">J15/J7</f>
        <v>9.7296633013803549E-2</v>
      </c>
      <c r="K16" s="190">
        <f t="shared" si="26"/>
        <v>9.3988810414343052E-2</v>
      </c>
      <c r="L16" s="190">
        <f t="shared" ref="L16" si="27">L15/L7</f>
        <v>0.10477564796800162</v>
      </c>
      <c r="M16" s="190">
        <f t="shared" ref="M16:N16" si="28">M15/M7</f>
        <v>0.1049797357141001</v>
      </c>
      <c r="N16" s="190">
        <f t="shared" si="28"/>
        <v>0.10033618906562355</v>
      </c>
      <c r="O16" s="190">
        <f t="shared" ref="O16:Q16" si="29">O15/O7</f>
        <v>9.9285794025709931E-2</v>
      </c>
      <c r="P16" s="190">
        <f t="shared" si="29"/>
        <v>0.13131144665576</v>
      </c>
      <c r="Q16" s="190">
        <f t="shared" si="29"/>
        <v>0.10971669821425248</v>
      </c>
      <c r="R16" s="190">
        <f t="shared" ref="R16:S16" si="30">R15/R7</f>
        <v>0.13345238064368359</v>
      </c>
      <c r="S16" s="190">
        <f t="shared" si="30"/>
        <v>9.181379703009368E-2</v>
      </c>
      <c r="T16" s="190">
        <f t="shared" ref="T16" si="31">T15/T7</f>
        <v>0.10050988578459689</v>
      </c>
      <c r="U16" s="190"/>
      <c r="V16" s="190"/>
      <c r="W16" s="190"/>
      <c r="X16" s="190"/>
      <c r="Z16" s="209"/>
    </row>
    <row r="18" spans="2:24" x14ac:dyDescent="0.2">
      <c r="B18" s="178" t="s">
        <v>213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</row>
    <row r="19" spans="2:24" x14ac:dyDescent="0.2">
      <c r="B19" s="78" t="s">
        <v>214</v>
      </c>
      <c r="C19" s="89">
        <v>25388838</v>
      </c>
      <c r="D19" s="89">
        <v>25800486</v>
      </c>
      <c r="E19" s="89">
        <v>27600108</v>
      </c>
      <c r="F19" s="89">
        <v>29436845</v>
      </c>
      <c r="G19" s="89">
        <f>C19+D19+E19+F19</f>
        <v>108226277</v>
      </c>
      <c r="H19" s="89">
        <f>'Historic Express Rev_Vol_ Data'!J27*1000000</f>
        <v>25008344</v>
      </c>
      <c r="I19" s="28">
        <v>24101160</v>
      </c>
      <c r="J19" s="28">
        <v>24481680</v>
      </c>
      <c r="K19" s="28">
        <v>26477337</v>
      </c>
      <c r="L19" s="28">
        <f>SUM(H19:K19)</f>
        <v>100068521</v>
      </c>
      <c r="M19" s="28">
        <v>24620104</v>
      </c>
      <c r="N19" s="28">
        <v>24232178</v>
      </c>
      <c r="O19" s="28">
        <v>24542273</v>
      </c>
      <c r="P19" s="28">
        <v>26596092</v>
      </c>
      <c r="Q19" s="28">
        <f>SUM(M19:P19)</f>
        <v>99990647</v>
      </c>
      <c r="R19" s="28">
        <v>26228288</v>
      </c>
      <c r="S19" s="28">
        <v>25108777</v>
      </c>
      <c r="T19" s="28">
        <v>28887967</v>
      </c>
      <c r="U19" s="209">
        <f>R19+S19+T19-'[16]Act''24 vs Act''23-YTD'!$D$96</f>
        <v>0</v>
      </c>
      <c r="V19" s="28"/>
      <c r="W19" s="209"/>
      <c r="X19" s="28"/>
    </row>
    <row r="20" spans="2:24" x14ac:dyDescent="0.2">
      <c r="B20" s="78" t="s">
        <v>215</v>
      </c>
      <c r="C20" s="89">
        <v>6203827</v>
      </c>
      <c r="D20" s="89">
        <v>7200104</v>
      </c>
      <c r="E20" s="89">
        <v>6300214</v>
      </c>
      <c r="F20" s="89">
        <v>6052494</v>
      </c>
      <c r="G20" s="89">
        <f>C20+D20+E20+F20</f>
        <v>25756639</v>
      </c>
      <c r="H20" s="89">
        <f>'Historic Express Rev_Vol_ Data'!J26*1000000</f>
        <v>5339769</v>
      </c>
      <c r="I20" s="28">
        <v>5930134</v>
      </c>
      <c r="J20" s="28">
        <v>5123776</v>
      </c>
      <c r="K20" s="28">
        <v>5811173</v>
      </c>
      <c r="L20" s="28">
        <f>SUM(H20:K20)</f>
        <v>22204852</v>
      </c>
      <c r="M20" s="28">
        <v>5393659</v>
      </c>
      <c r="N20" s="28">
        <v>5491225</v>
      </c>
      <c r="O20" s="28">
        <v>4852560</v>
      </c>
      <c r="P20" s="28">
        <v>7610172</v>
      </c>
      <c r="Q20" s="28">
        <f>SUM(M20:P20)</f>
        <v>23347616</v>
      </c>
      <c r="R20" s="28">
        <v>7767896</v>
      </c>
      <c r="S20" s="28">
        <v>6652191</v>
      </c>
      <c r="T20" s="28">
        <v>6495790</v>
      </c>
      <c r="U20" s="209">
        <f>R20+S20+T20-'[16]Act''24 vs Act''23-YTD'!$D$91</f>
        <v>0</v>
      </c>
      <c r="V20" s="28"/>
      <c r="W20" s="209"/>
      <c r="X20" s="28"/>
    </row>
    <row r="21" spans="2:24" ht="13.5" thickBot="1" x14ac:dyDescent="0.25">
      <c r="B21" s="90" t="s">
        <v>216</v>
      </c>
      <c r="C21" s="91">
        <f>SUM(C19:C20)</f>
        <v>31592665</v>
      </c>
      <c r="D21" s="91">
        <f t="shared" ref="D21:I21" si="32">SUM(D19:D20)</f>
        <v>33000590</v>
      </c>
      <c r="E21" s="91">
        <f t="shared" si="32"/>
        <v>33900322</v>
      </c>
      <c r="F21" s="91">
        <f t="shared" si="32"/>
        <v>35489339</v>
      </c>
      <c r="G21" s="91">
        <f t="shared" si="32"/>
        <v>133982916</v>
      </c>
      <c r="H21" s="91">
        <f t="shared" si="32"/>
        <v>30348113</v>
      </c>
      <c r="I21" s="91">
        <f t="shared" si="32"/>
        <v>30031294</v>
      </c>
      <c r="J21" s="91">
        <f t="shared" ref="J21:L21" si="33">SUM(J19:J20)</f>
        <v>29605456</v>
      </c>
      <c r="K21" s="91">
        <f t="shared" si="33"/>
        <v>32288510</v>
      </c>
      <c r="L21" s="91">
        <f t="shared" si="33"/>
        <v>122273373</v>
      </c>
      <c r="M21" s="91">
        <f t="shared" ref="M21:N21" si="34">SUM(M19:M20)</f>
        <v>30013763</v>
      </c>
      <c r="N21" s="91">
        <f t="shared" si="34"/>
        <v>29723403</v>
      </c>
      <c r="O21" s="91">
        <f t="shared" ref="O21:Q21" si="35">SUM(O19:O20)</f>
        <v>29394833</v>
      </c>
      <c r="P21" s="91">
        <f t="shared" si="35"/>
        <v>34206264</v>
      </c>
      <c r="Q21" s="91">
        <f t="shared" si="35"/>
        <v>123338263</v>
      </c>
      <c r="R21" s="91">
        <f t="shared" ref="R21:S21" si="36">SUM(R19:R20)</f>
        <v>33996184</v>
      </c>
      <c r="S21" s="91">
        <f t="shared" si="36"/>
        <v>31760968</v>
      </c>
      <c r="T21" s="91">
        <f t="shared" ref="T21" si="37">SUM(T19:T20)</f>
        <v>35383757</v>
      </c>
    </row>
    <row r="22" spans="2:24" ht="13.5" thickTop="1" x14ac:dyDescent="0.2"/>
    <row r="23" spans="2:24" x14ac:dyDescent="0.2">
      <c r="B23" s="178" t="s">
        <v>217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2:24" x14ac:dyDescent="0.2">
      <c r="B24" s="78" t="s">
        <v>218</v>
      </c>
      <c r="C24" s="133">
        <f t="shared" ref="C24:J24" si="38">C7*1000/C21</f>
        <v>8.637131315486597</v>
      </c>
      <c r="D24" s="133">
        <f t="shared" si="38"/>
        <v>9.0825094374279089</v>
      </c>
      <c r="E24" s="133">
        <f t="shared" si="38"/>
        <v>8.5914201055496981</v>
      </c>
      <c r="F24" s="133">
        <f t="shared" si="38"/>
        <v>8.4177488090551638</v>
      </c>
      <c r="G24" s="133">
        <f t="shared" ref="G24" si="39">G7*1000/G21</f>
        <v>8.6771541488444708</v>
      </c>
      <c r="H24" s="133">
        <f t="shared" si="38"/>
        <v>8.3944593230200066</v>
      </c>
      <c r="I24" s="133">
        <f t="shared" si="38"/>
        <v>8.7124920502724397</v>
      </c>
      <c r="J24" s="133">
        <f t="shared" si="38"/>
        <v>7.9440371869510411</v>
      </c>
      <c r="K24" s="133">
        <f t="shared" ref="K24:L24" si="40">K7*1000/K21</f>
        <v>8.308772541858092</v>
      </c>
      <c r="L24" s="133">
        <f t="shared" si="40"/>
        <v>8.3408849696937892</v>
      </c>
      <c r="M24" s="133">
        <f t="shared" ref="M24:N24" si="41">M7*1000/M21</f>
        <v>8.4209867082733538</v>
      </c>
      <c r="N24" s="133">
        <f t="shared" si="41"/>
        <v>8.3584474438364236</v>
      </c>
      <c r="O24" s="133">
        <f t="shared" ref="O24:P24" si="42">O7*1000/O21</f>
        <v>8.0083747719498586</v>
      </c>
      <c r="P24" s="133">
        <f t="shared" si="42"/>
        <v>8.0999541857369248</v>
      </c>
      <c r="Q24" s="133">
        <f>Q7*1000/Q21</f>
        <v>8.2185445679889124</v>
      </c>
      <c r="R24" s="133">
        <f t="shared" ref="R24:S24" si="43">R7*1000/R21</f>
        <v>8.2176495843560602</v>
      </c>
      <c r="S24" s="133">
        <f t="shared" si="43"/>
        <v>8.2761463070503094</v>
      </c>
      <c r="T24" s="133">
        <f t="shared" ref="T24" si="44">T7*1000/T21</f>
        <v>7.7795257637771709</v>
      </c>
      <c r="V24" s="133"/>
      <c r="X24" s="133"/>
    </row>
    <row r="25" spans="2:24" x14ac:dyDescent="0.2">
      <c r="B25" s="78" t="s">
        <v>219</v>
      </c>
      <c r="C25" s="133">
        <f t="shared" ref="C25:J25" si="45">C8*1000/C21</f>
        <v>6.1798256716593727</v>
      </c>
      <c r="D25" s="133">
        <f t="shared" si="45"/>
        <v>6.3984598602186153</v>
      </c>
      <c r="E25" s="133">
        <f t="shared" si="45"/>
        <v>6.0040113962159163</v>
      </c>
      <c r="F25" s="133">
        <f t="shared" si="45"/>
        <v>6.3500990539785205</v>
      </c>
      <c r="G25" s="133">
        <f t="shared" ref="G25" si="46">G8*1000/G21</f>
        <v>6.2342937088731416</v>
      </c>
      <c r="H25" s="133">
        <f t="shared" si="45"/>
        <v>5.9670676633511546</v>
      </c>
      <c r="I25" s="133">
        <f t="shared" si="45"/>
        <v>6.1489651224531201</v>
      </c>
      <c r="J25" s="133">
        <f t="shared" si="45"/>
        <v>5.7298888442058766</v>
      </c>
      <c r="K25" s="133">
        <f t="shared" ref="K25:L25" si="47">K8*1000/K21</f>
        <v>5.8666961166506377</v>
      </c>
      <c r="L25" s="133">
        <f t="shared" si="47"/>
        <v>5.9278112120586188</v>
      </c>
      <c r="M25" s="133">
        <f t="shared" ref="M25:N25" si="48">M8*1000/M21</f>
        <v>5.9585386055035139</v>
      </c>
      <c r="N25" s="133">
        <f t="shared" si="48"/>
        <v>5.9499638560388348</v>
      </c>
      <c r="O25" s="133">
        <f t="shared" ref="O25:Q25" si="49">O8*1000/O21</f>
        <v>5.6493058802336202</v>
      </c>
      <c r="P25" s="133">
        <f t="shared" si="49"/>
        <v>5.6797078246686059</v>
      </c>
      <c r="Q25" s="133">
        <f t="shared" si="49"/>
        <v>5.805443581358646</v>
      </c>
      <c r="R25" s="133">
        <f t="shared" ref="R25:S25" si="50">R8*1000/R21</f>
        <v>5.7031449610655534</v>
      </c>
      <c r="S25" s="133">
        <f t="shared" si="50"/>
        <v>5.9653837178206484</v>
      </c>
      <c r="T25" s="133">
        <f t="shared" ref="T25" si="51">T8*1000/T21</f>
        <v>5.5687307646732487</v>
      </c>
      <c r="V25" s="133"/>
      <c r="X25" s="133"/>
    </row>
    <row r="26" spans="2:24" x14ac:dyDescent="0.2">
      <c r="B26" s="58"/>
    </row>
    <row r="27" spans="2:24" x14ac:dyDescent="0.2">
      <c r="B27" s="58"/>
    </row>
  </sheetData>
  <pageMargins left="0.7" right="0.7" top="0.75" bottom="0.75" header="0.3" footer="0.3"/>
  <pageSetup orientation="portrait" horizontalDpi="1200" verticalDpi="1200" r:id="rId1"/>
  <ignoredErrors>
    <ignoredError sqref="G14 Q7: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AC21"/>
  <sheetViews>
    <sheetView showGridLines="0" workbookViewId="0">
      <pane xSplit="2" ySplit="5" topLeftCell="C6" activePane="bottomRight" state="frozen"/>
      <selection pane="topRight" activeCell="B7" sqref="B7"/>
      <selection pane="bottomLeft" activeCell="B7" sqref="B7"/>
      <selection pane="bottomRight" activeCell="V16" sqref="V16"/>
    </sheetView>
  </sheetViews>
  <sheetFormatPr defaultColWidth="9.140625" defaultRowHeight="12.75" x14ac:dyDescent="0.2"/>
  <cols>
    <col min="1" max="1" width="6.28515625" style="20" customWidth="1"/>
    <col min="2" max="2" width="42.2851562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2" width="12.7109375" style="20" customWidth="1"/>
    <col min="13" max="16" width="12.7109375" style="20" bestFit="1" customWidth="1"/>
    <col min="17" max="17" width="12.7109375" style="20" customWidth="1"/>
    <col min="18" max="20" width="12.7109375" style="20" bestFit="1" customWidth="1"/>
    <col min="21" max="21" width="13.140625" style="20" customWidth="1"/>
    <col min="22" max="22" width="9.140625" style="20"/>
    <col min="23" max="23" width="12.42578125" style="20" customWidth="1"/>
    <col min="24" max="25" width="9.140625" style="20"/>
    <col min="26" max="27" width="9.140625" style="20" customWidth="1"/>
    <col min="28" max="16384" width="9.140625" style="20"/>
  </cols>
  <sheetData>
    <row r="1" spans="1:29" x14ac:dyDescent="0.2">
      <c r="A1" s="162">
        <f>'2024 IR Data Book'!$A$5</f>
        <v>0.27228666339922669</v>
      </c>
    </row>
    <row r="2" spans="1:29" x14ac:dyDescent="0.2">
      <c r="A2" s="162"/>
    </row>
    <row r="3" spans="1:29" ht="15" x14ac:dyDescent="0.25">
      <c r="B3" s="70"/>
    </row>
    <row r="4" spans="1:29" ht="14.25" customHeight="1" x14ac:dyDescent="0.2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175" t="s">
        <v>21</v>
      </c>
      <c r="V4" s="175"/>
      <c r="W4" s="175" t="s">
        <v>21</v>
      </c>
      <c r="X4" s="175"/>
    </row>
    <row r="5" spans="1:29" ht="27" customHeight="1" x14ac:dyDescent="0.2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332</v>
      </c>
      <c r="T5" s="202" t="s">
        <v>342</v>
      </c>
      <c r="U5" s="75" t="s">
        <v>344</v>
      </c>
      <c r="V5" s="202" t="s">
        <v>38</v>
      </c>
      <c r="W5" s="267" t="s">
        <v>343</v>
      </c>
      <c r="X5" s="202" t="s">
        <v>38</v>
      </c>
    </row>
    <row r="6" spans="1:29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9" ht="15" x14ac:dyDescent="0.25">
      <c r="B7" s="180" t="s">
        <v>202</v>
      </c>
      <c r="C7" s="184">
        <f>646524.483858966*((('2024 IR Data Book'!$A$5)))</f>
        <v>176039.99451586505</v>
      </c>
      <c r="D7" s="184">
        <f>733555.714494972*((('2024 IR Data Book'!$A$5)))</f>
        <v>199737.43791727169</v>
      </c>
      <c r="E7" s="184">
        <f>608876.826084214*((('2024 IR Data Book'!$A$5)))</f>
        <v>165789.03939558187</v>
      </c>
      <c r="F7" s="184">
        <f>673196.558903118*((('2024 IR Data Book'!$A$5)))</f>
        <v>183302.44483557099</v>
      </c>
      <c r="G7" s="184">
        <f>C7+D7+E7+F7</f>
        <v>724868.91666428966</v>
      </c>
      <c r="H7" s="184">
        <f>558977.0652*((('2024 IR Data Book'!$A$5)))</f>
        <v>152201.99999999997</v>
      </c>
      <c r="I7" s="184">
        <f>588432.255458431*((('2024 IR Data Book'!$A$5)))</f>
        <v>160222.25547525755</v>
      </c>
      <c r="J7" s="184">
        <f>(496499.900127167-1231.05271916011-1342.02838895886)*((('2024 IR Data Book'!$A$5)))</f>
        <v>134489.68551409029</v>
      </c>
      <c r="K7" s="184">
        <f>(L7-J7-I7-H7)</f>
        <v>165427.47028181274</v>
      </c>
      <c r="L7" s="184">
        <f>('[11]Sum Per Produc-22 Vs 21 Express'!$C$5+'[11]Sum Per Produc-22 Vs 21 Express'!$H$5)*3.6726*((('2024 IR Data Book'!$A$5)))</f>
        <v>612341.41127116058</v>
      </c>
      <c r="M7" s="184">
        <f>566580.920045477*((('2024 IR Data Book'!$A$5)))</f>
        <v>154272.42826484697</v>
      </c>
      <c r="N7" s="184">
        <f>561041.184136171*((('2024 IR Data Book'!$A$5)))</f>
        <v>152764.03205798916</v>
      </c>
      <c r="O7" s="184">
        <f>511950.953745064*(((('2024 IR Data Book'!$A$5))))</f>
        <v>139397.4170192953</v>
      </c>
      <c r="P7" s="184">
        <f>('[12]Sum Per Produc-23 Vs 22 Express'!$C$5+'[12]Sum Per Produc-23 Vs 22 Express'!$H$5)*3.6726*(((('2024 IR Data Book'!$A$5))))</f>
        <v>178576.12708504731</v>
      </c>
      <c r="Q7" s="184">
        <f>M7+N7+O7+P7</f>
        <v>625010.00442717876</v>
      </c>
      <c r="R7" s="184">
        <f>('[13]Sum Per Produc-24 Vs 23 Express'!$C$5+'[13]Sum Per Produc-24 Vs 23 Express'!$H$5)*3.6726*(((('2024 IR Data Book'!$A$5))))</f>
        <v>175844.14032247599</v>
      </c>
      <c r="S7" s="184">
        <f>('[14]Sum Per Produc-24 Vs 23 Express'!$C$5+'[14]Sum Per Produc-24 Vs 23 Express'!$H$5)*3.6726*(((('2024 IR Data Book'!$A$5))))</f>
        <v>160458.43771856109</v>
      </c>
      <c r="T7" s="184">
        <f>('[15]Sum Per Produc-24 Vs 23 Express'!$C$5+'[15]Sum Per Produc-24 Vs 23 Express'!$H$5)*3.6726*(((('2024 IR Data Book'!$A$5))))</f>
        <v>153111.98517815402</v>
      </c>
      <c r="U7" s="185">
        <f>T7-O7</f>
        <v>13714.568158858718</v>
      </c>
      <c r="V7" s="186">
        <f>U7/O7</f>
        <v>9.8384664881992434E-2</v>
      </c>
      <c r="W7" s="185">
        <f>(R7+S7+T7)-(M7+N7+O7)</f>
        <v>42980.685877059645</v>
      </c>
      <c r="X7" s="186">
        <f>W7/(M7+N7+O7)</f>
        <v>9.6275592105481589E-2</v>
      </c>
      <c r="Z7" s="209"/>
      <c r="AA7" s="209"/>
      <c r="AB7" s="239"/>
      <c r="AC7" s="239"/>
    </row>
    <row r="8" spans="1:29" ht="15" x14ac:dyDescent="0.25">
      <c r="B8" s="181" t="s">
        <v>205</v>
      </c>
      <c r="C8" s="187">
        <f>444124.447612567*((('2024 IR Data Book'!$A$5)))</f>
        <v>120929.16397445052</v>
      </c>
      <c r="D8" s="187">
        <f>498401.214070459*((('2024 IR Data Book'!$A$5)))</f>
        <v>135708.00361336899</v>
      </c>
      <c r="E8" s="187">
        <f>414055.145401605*((('2024 IR Data Book'!$A$5)))</f>
        <v>112741.69400468469</v>
      </c>
      <c r="F8" s="187">
        <f>488658.173014657*((('2024 IR Data Book'!$A$5)))</f>
        <v>133055.10347292299</v>
      </c>
      <c r="G8" s="187">
        <f>C8+D8+E8+F8</f>
        <v>502433.96506542718</v>
      </c>
      <c r="H8" s="187">
        <f>381194.278492367*((('2024 IR Data Book'!$A$5)))</f>
        <v>103794.11819756222</v>
      </c>
      <c r="I8" s="187">
        <f>398724.179629226*((('2024 IR Data Book'!$A$5)))</f>
        <v>108567.27648783586</v>
      </c>
      <c r="J8" s="187">
        <f>(342797.531928598-310.198076032919-399.469364759988)*((('2024 IR Data Book'!$A$5)))</f>
        <v>93145.963210751259</v>
      </c>
      <c r="K8" s="187">
        <f>(L8-J8-I8-H8)</f>
        <v>112604.1972077606</v>
      </c>
      <c r="L8" s="187">
        <f>('[11]Sum Per Produc-22 Vs 21 Express'!$C$9+'[11]Sum Per Produc-22 Vs 21 Express'!$H$9)*3.6726*((('2024 IR Data Book'!$A$5)))</f>
        <v>418111.55510390992</v>
      </c>
      <c r="M8" s="187">
        <f>382785.441676797*((('2024 IR Data Book'!$A$5)))</f>
        <v>104227.37071197435</v>
      </c>
      <c r="N8" s="187">
        <f>372716.871459385*((('2024 IR Data Book'!$A$5)))</f>
        <v>101485.8333222744</v>
      </c>
      <c r="O8" s="187">
        <f>329440.75348802*(((('2024 IR Data Book'!$A$5))))</f>
        <v>89702.323554980117</v>
      </c>
      <c r="P8" s="187">
        <f>('[12]Sum Per Produc-23 Vs 22 Express'!$C$9+'[12]Sum Per Produc-23 Vs 22 Express'!$H$9)*3.6726*(((('2024 IR Data Book'!$A$5))))</f>
        <v>117145.18653402987</v>
      </c>
      <c r="Q8" s="187">
        <f>M8+N8+O8+P8</f>
        <v>412560.71412325872</v>
      </c>
      <c r="R8" s="187">
        <f>('[13]Sum Per Produc-24 Vs 23 Express'!$C$9+'[13]Sum Per Produc-24 Vs 23 Express'!$H$9)*3.6726*(((('2024 IR Data Book'!$A$5))))</f>
        <v>116174.66067193109</v>
      </c>
      <c r="S8" s="187">
        <f>('[14]Sum Per Produc-24 Vs 23 Express'!$C$9+'[14]Sum Per Produc-24 Vs 23 Express'!$H$9)*3.6726*(((('2024 IR Data Book'!$A$5))))</f>
        <v>109240.16128006043</v>
      </c>
      <c r="T8" s="187">
        <f>('[15]Sum Per Produc-24 Vs 23 Express'!$C$9+'[15]Sum Per Produc-24 Vs 23 Express'!$H$9)*3.6726*(((('2024 IR Data Book'!$A$5))))</f>
        <v>104454.23270949577</v>
      </c>
      <c r="U8" s="188">
        <f>T8-O8</f>
        <v>14751.909154515655</v>
      </c>
      <c r="V8" s="238">
        <f>U8/O8</f>
        <v>0.16445403608161782</v>
      </c>
      <c r="W8" s="188">
        <f>(R8+S8+T8)-(M8+N8+O8)</f>
        <v>34453.52707225841</v>
      </c>
      <c r="X8" s="238">
        <f>W8/(M8+N8+O8)</f>
        <v>0.11662733964399311</v>
      </c>
      <c r="Z8" s="209"/>
      <c r="AA8" s="209"/>
      <c r="AB8" s="239"/>
    </row>
    <row r="9" spans="1:29" ht="15" x14ac:dyDescent="0.25">
      <c r="B9" s="183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9"/>
      <c r="W9" s="187"/>
      <c r="X9" s="189"/>
      <c r="Z9" s="209"/>
      <c r="AA9" s="209"/>
    </row>
    <row r="10" spans="1:29" ht="15" x14ac:dyDescent="0.25">
      <c r="B10" s="180" t="s">
        <v>206</v>
      </c>
      <c r="C10" s="184">
        <f t="shared" ref="C10:E10" si="0">C7-C8</f>
        <v>55110.830541414529</v>
      </c>
      <c r="D10" s="184">
        <f t="shared" ref="D10" si="1">D7-D8</f>
        <v>64029.434303902701</v>
      </c>
      <c r="E10" s="184">
        <f t="shared" si="0"/>
        <v>53047.345390897186</v>
      </c>
      <c r="F10" s="184">
        <f t="shared" ref="F10:G10" si="2">F7-F8</f>
        <v>50247.341362648003</v>
      </c>
      <c r="G10" s="184">
        <f t="shared" si="2"/>
        <v>222434.95159886248</v>
      </c>
      <c r="H10" s="184">
        <f t="shared" ref="H10:I10" si="3">H7-H8</f>
        <v>48407.881802437754</v>
      </c>
      <c r="I10" s="184">
        <f t="shared" si="3"/>
        <v>51654.978987421695</v>
      </c>
      <c r="J10" s="184">
        <f t="shared" ref="J10:K10" si="4">J7-J8</f>
        <v>41343.722303339033</v>
      </c>
      <c r="K10" s="184">
        <f t="shared" si="4"/>
        <v>52823.273074052137</v>
      </c>
      <c r="L10" s="184">
        <f t="shared" ref="L10" si="5">L7-L8</f>
        <v>194229.85616725066</v>
      </c>
      <c r="M10" s="184">
        <f t="shared" ref="M10:N10" si="6">M7-M8</f>
        <v>50045.057552872619</v>
      </c>
      <c r="N10" s="184">
        <f t="shared" si="6"/>
        <v>51278.198735714759</v>
      </c>
      <c r="O10" s="184">
        <f t="shared" ref="O10:Q10" si="7">O7-O8</f>
        <v>49695.093464315185</v>
      </c>
      <c r="P10" s="184">
        <f t="shared" si="7"/>
        <v>61430.94055101744</v>
      </c>
      <c r="Q10" s="184">
        <f t="shared" si="7"/>
        <v>212449.29030392005</v>
      </c>
      <c r="R10" s="184">
        <f t="shared" ref="R10:S10" si="8">R7-R8</f>
        <v>59669.47965054489</v>
      </c>
      <c r="S10" s="184">
        <f t="shared" si="8"/>
        <v>51218.276438500659</v>
      </c>
      <c r="T10" s="184">
        <f t="shared" ref="T10" si="9">T7-T8</f>
        <v>48657.752468658247</v>
      </c>
      <c r="U10" s="185">
        <f>T10-O10</f>
        <v>-1037.3409956569376</v>
      </c>
      <c r="V10" s="186">
        <f>U10/O10</f>
        <v>-2.0874112982639352E-2</v>
      </c>
      <c r="W10" s="185">
        <f>(R10+S10+T10)-(M10+N10+O10)</f>
        <v>8527.1588048012345</v>
      </c>
      <c r="X10" s="186">
        <f>W10/(M10+N10+O10)</f>
        <v>5.6464388723313684E-2</v>
      </c>
      <c r="Z10" s="209"/>
      <c r="AA10" s="209"/>
      <c r="AC10" s="239"/>
    </row>
    <row r="11" spans="1:29" ht="15" x14ac:dyDescent="0.25">
      <c r="B11" s="182" t="s">
        <v>207</v>
      </c>
      <c r="C11" s="190">
        <f t="shared" ref="C11:E11" si="10">C10/C7</f>
        <v>0.3130585790631108</v>
      </c>
      <c r="D11" s="190">
        <f t="shared" ref="D11" si="11">D10/D7</f>
        <v>0.32056801654992068</v>
      </c>
      <c r="E11" s="190">
        <f t="shared" si="10"/>
        <v>0.31996895322086566</v>
      </c>
      <c r="F11" s="190">
        <f t="shared" ref="F11:G11" si="12">F10/F7</f>
        <v>0.27412259235124609</v>
      </c>
      <c r="G11" s="190">
        <f t="shared" si="12"/>
        <v>0.30686231190939495</v>
      </c>
      <c r="H11" s="190">
        <f t="shared" ref="H11:I11" si="13">H10/H7</f>
        <v>0.31805023457272419</v>
      </c>
      <c r="I11" s="190">
        <f t="shared" si="13"/>
        <v>0.32239577975107558</v>
      </c>
      <c r="J11" s="190">
        <f t="shared" ref="J11:K11" si="14">J10/J7</f>
        <v>0.30741184459835408</v>
      </c>
      <c r="K11" s="190">
        <f t="shared" si="14"/>
        <v>0.31931379343506516</v>
      </c>
      <c r="L11" s="190">
        <f t="shared" ref="L11" si="15">L10/L7</f>
        <v>0.31719209674885218</v>
      </c>
      <c r="M11" s="190">
        <f t="shared" ref="M11:N11" si="16">M10/M7</f>
        <v>0.32439404834516405</v>
      </c>
      <c r="N11" s="190">
        <f t="shared" si="16"/>
        <v>0.33566931983210274</v>
      </c>
      <c r="O11" s="190">
        <f t="shared" ref="O11:Q11" si="17">O10/O7</f>
        <v>0.35649938518901264</v>
      </c>
      <c r="P11" s="190">
        <f t="shared" si="17"/>
        <v>0.34400421575813889</v>
      </c>
      <c r="Q11" s="190">
        <f t="shared" si="17"/>
        <v>0.33991342346372466</v>
      </c>
      <c r="R11" s="190">
        <f t="shared" ref="R11:S11" si="18">R10/R7</f>
        <v>0.33933163505544506</v>
      </c>
      <c r="S11" s="190">
        <f t="shared" si="18"/>
        <v>0.31919964550780344</v>
      </c>
      <c r="T11" s="190">
        <f t="shared" ref="T11" si="19">T10/T7</f>
        <v>0.31779192472778889</v>
      </c>
      <c r="U11" s="190"/>
      <c r="V11" s="190"/>
      <c r="W11" s="190"/>
      <c r="X11" s="190"/>
    </row>
    <row r="13" spans="1:29" x14ac:dyDescent="0.2">
      <c r="B13" s="178" t="s">
        <v>213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</row>
    <row r="14" spans="1:29" x14ac:dyDescent="0.2">
      <c r="B14" s="78"/>
      <c r="C14" s="89"/>
      <c r="D14" s="89"/>
      <c r="E14" s="89"/>
      <c r="F14" s="89"/>
      <c r="G14" s="89"/>
      <c r="H14" s="89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9" x14ac:dyDescent="0.2">
      <c r="B15" s="78" t="s">
        <v>215</v>
      </c>
      <c r="C15" s="89">
        <v>6203827</v>
      </c>
      <c r="D15" s="89">
        <v>7200104</v>
      </c>
      <c r="E15" s="89">
        <v>6300214</v>
      </c>
      <c r="F15" s="89">
        <v>6052494</v>
      </c>
      <c r="G15" s="89">
        <f>C15+D15+E15+F15</f>
        <v>25756639</v>
      </c>
      <c r="H15" s="89">
        <f>'Historic Express Rev_Vol_ Data'!J26*1000000</f>
        <v>5339769</v>
      </c>
      <c r="I15" s="28">
        <v>5930134</v>
      </c>
      <c r="J15" s="28">
        <v>5123776</v>
      </c>
      <c r="K15" s="28">
        <v>5811173</v>
      </c>
      <c r="L15" s="28">
        <f>H15+I15+J15+K15</f>
        <v>22204852</v>
      </c>
      <c r="M15" s="28">
        <v>5393659</v>
      </c>
      <c r="N15" s="28">
        <v>5491225</v>
      </c>
      <c r="O15" s="28">
        <v>4852560</v>
      </c>
      <c r="P15" s="28">
        <v>7610172</v>
      </c>
      <c r="Q15" s="28">
        <f>M15+N15+O15+P15</f>
        <v>23347616</v>
      </c>
      <c r="R15" s="28">
        <v>7767896</v>
      </c>
      <c r="S15" s="28">
        <f>'Aramex Courier'!S20</f>
        <v>6652191</v>
      </c>
      <c r="T15" s="28">
        <f>'Aramex Courier'!T20</f>
        <v>6495790</v>
      </c>
      <c r="U15" s="28"/>
      <c r="V15" s="28"/>
      <c r="W15" s="28"/>
      <c r="X15" s="28"/>
    </row>
    <row r="16" spans="1:29" ht="13.5" thickBot="1" x14ac:dyDescent="0.25">
      <c r="B16" s="90" t="s">
        <v>220</v>
      </c>
      <c r="C16" s="91">
        <f t="shared" ref="C16:J16" si="20">SUM(C14:C15)</f>
        <v>6203827</v>
      </c>
      <c r="D16" s="91">
        <f t="shared" si="20"/>
        <v>7200104</v>
      </c>
      <c r="E16" s="91">
        <f t="shared" si="20"/>
        <v>6300214</v>
      </c>
      <c r="F16" s="91">
        <f t="shared" si="20"/>
        <v>6052494</v>
      </c>
      <c r="G16" s="91">
        <f t="shared" si="20"/>
        <v>25756639</v>
      </c>
      <c r="H16" s="91">
        <f t="shared" si="20"/>
        <v>5339769</v>
      </c>
      <c r="I16" s="91">
        <f t="shared" si="20"/>
        <v>5930134</v>
      </c>
      <c r="J16" s="91">
        <f t="shared" si="20"/>
        <v>5123776</v>
      </c>
      <c r="K16" s="91">
        <f t="shared" ref="K16:L16" si="21">SUM(K14:K15)</f>
        <v>5811173</v>
      </c>
      <c r="L16" s="91">
        <f t="shared" si="21"/>
        <v>22204852</v>
      </c>
      <c r="M16" s="91">
        <f t="shared" ref="M16:N16" si="22">SUM(M14:M15)</f>
        <v>5393659</v>
      </c>
      <c r="N16" s="91">
        <f t="shared" si="22"/>
        <v>5491225</v>
      </c>
      <c r="O16" s="91">
        <f t="shared" ref="O16:Q16" si="23">SUM(O14:O15)</f>
        <v>4852560</v>
      </c>
      <c r="P16" s="91">
        <f t="shared" si="23"/>
        <v>7610172</v>
      </c>
      <c r="Q16" s="91">
        <f t="shared" si="23"/>
        <v>23347616</v>
      </c>
      <c r="R16" s="91">
        <f t="shared" ref="R16:S16" si="24">SUM(R14:R15)</f>
        <v>7767896</v>
      </c>
      <c r="S16" s="91">
        <f t="shared" si="24"/>
        <v>6652191</v>
      </c>
      <c r="T16" s="91">
        <f t="shared" ref="T16" si="25">SUM(T14:T15)</f>
        <v>6495790</v>
      </c>
    </row>
    <row r="17" spans="2:24" ht="13.5" thickTop="1" x14ac:dyDescent="0.2"/>
    <row r="18" spans="2:24" x14ac:dyDescent="0.2">
      <c r="B18" s="178" t="s">
        <v>217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</row>
    <row r="19" spans="2:24" x14ac:dyDescent="0.2">
      <c r="B19" s="78" t="s">
        <v>221</v>
      </c>
      <c r="C19" s="133">
        <f t="shared" ref="C19:J19" si="26">C7*1000/C16</f>
        <v>28.376032167864295</v>
      </c>
      <c r="D19" s="133">
        <f t="shared" si="26"/>
        <v>27.740910119808223</v>
      </c>
      <c r="E19" s="133">
        <f t="shared" si="26"/>
        <v>26.314826670265784</v>
      </c>
      <c r="F19" s="133">
        <f t="shared" si="26"/>
        <v>30.285440156664507</v>
      </c>
      <c r="G19" s="133">
        <f t="shared" ref="G19" si="27">G7*1000/G16</f>
        <v>28.142993216789261</v>
      </c>
      <c r="H19" s="133">
        <f t="shared" si="26"/>
        <v>28.503480206728039</v>
      </c>
      <c r="I19" s="133">
        <f t="shared" si="26"/>
        <v>27.018319564997611</v>
      </c>
      <c r="J19" s="133">
        <f t="shared" si="26"/>
        <v>26.248158684940616</v>
      </c>
      <c r="K19" s="133">
        <f t="shared" ref="K19:L19" si="28">K7*1000/K16</f>
        <v>28.467139126956422</v>
      </c>
      <c r="L19" s="133">
        <f t="shared" si="28"/>
        <v>27.576919281928138</v>
      </c>
      <c r="M19" s="133">
        <f t="shared" ref="M19:N19" si="29">M7*1000/M16</f>
        <v>28.6025550122555</v>
      </c>
      <c r="N19" s="133">
        <f t="shared" si="29"/>
        <v>27.819663564685321</v>
      </c>
      <c r="O19" s="133">
        <f t="shared" ref="O19:Q19" si="30">O7*1000/O16</f>
        <v>28.726572575979546</v>
      </c>
      <c r="P19" s="133">
        <f t="shared" si="30"/>
        <v>23.465452171783674</v>
      </c>
      <c r="Q19" s="133">
        <f t="shared" si="30"/>
        <v>26.769756896257793</v>
      </c>
      <c r="R19" s="133">
        <f t="shared" ref="R19:S19" si="31">R7*1000/R16</f>
        <v>22.637293331743372</v>
      </c>
      <c r="S19" s="133">
        <f t="shared" si="31"/>
        <v>24.121141097506232</v>
      </c>
      <c r="T19" s="133">
        <f t="shared" ref="T19" si="32">T7*1000/T16</f>
        <v>23.570956754783332</v>
      </c>
      <c r="U19" s="133"/>
      <c r="V19" s="2"/>
      <c r="W19" s="133"/>
      <c r="X19" s="2"/>
    </row>
    <row r="20" spans="2:24" x14ac:dyDescent="0.2">
      <c r="B20" s="78" t="s">
        <v>222</v>
      </c>
      <c r="C20" s="133">
        <f t="shared" ref="C20:J20" si="33">C8*1000/C16</f>
        <v>19.492671857943577</v>
      </c>
      <c r="D20" s="133">
        <f t="shared" si="33"/>
        <v>18.848061585411681</v>
      </c>
      <c r="E20" s="133">
        <f t="shared" si="33"/>
        <v>17.894899126392325</v>
      </c>
      <c r="F20" s="133">
        <f t="shared" si="33"/>
        <v>21.983516790421103</v>
      </c>
      <c r="G20" s="133">
        <f t="shared" ref="G20" si="34">G8*1000/G16</f>
        <v>19.506969254234885</v>
      </c>
      <c r="H20" s="133">
        <f t="shared" si="33"/>
        <v>19.437941640839185</v>
      </c>
      <c r="I20" s="133">
        <f t="shared" si="33"/>
        <v>18.307727361276466</v>
      </c>
      <c r="J20" s="133">
        <f t="shared" si="33"/>
        <v>18.179163806292717</v>
      </c>
      <c r="K20" s="133">
        <f t="shared" ref="K20:L20" si="35">K8*1000/K16</f>
        <v>19.3771889440842</v>
      </c>
      <c r="L20" s="133">
        <f t="shared" si="35"/>
        <v>18.8297384330195</v>
      </c>
      <c r="M20" s="133">
        <f t="shared" ref="M20:N20" si="36">M8*1000/M16</f>
        <v>19.324056398814673</v>
      </c>
      <c r="N20" s="133">
        <f t="shared" si="36"/>
        <v>18.481456017969471</v>
      </c>
      <c r="O20" s="133">
        <f t="shared" ref="O20:Q20" si="37">O8*1000/O16</f>
        <v>18.485567114055286</v>
      </c>
      <c r="P20" s="133">
        <f t="shared" si="37"/>
        <v>15.393237700019116</v>
      </c>
      <c r="Q20" s="133">
        <f t="shared" si="37"/>
        <v>17.670357184359155</v>
      </c>
      <c r="R20" s="133">
        <f t="shared" ref="R20:S20" si="38">R8*1000/R16</f>
        <v>14.955743572253168</v>
      </c>
      <c r="S20" s="133">
        <f t="shared" si="38"/>
        <v>16.421681409938536</v>
      </c>
      <c r="T20" s="133">
        <f t="shared" ref="T20" si="39">T8*1000/T16</f>
        <v>16.080297040005259</v>
      </c>
      <c r="V20" s="2"/>
      <c r="X20" s="2"/>
    </row>
    <row r="21" spans="2:24" x14ac:dyDescent="0.2">
      <c r="B21" s="78" t="s">
        <v>223</v>
      </c>
      <c r="C21" s="133">
        <f t="shared" ref="C21:J21" si="40">C10*1000/C16</f>
        <v>8.8833603099207199</v>
      </c>
      <c r="D21" s="133">
        <f t="shared" si="40"/>
        <v>8.8928485343965455</v>
      </c>
      <c r="E21" s="133">
        <f t="shared" si="40"/>
        <v>8.4199275438734595</v>
      </c>
      <c r="F21" s="133">
        <f t="shared" si="40"/>
        <v>8.301923366243404</v>
      </c>
      <c r="G21" s="133">
        <f t="shared" ref="G21" si="41">G10*1000/G16</f>
        <v>8.636023962554372</v>
      </c>
      <c r="H21" s="133">
        <f t="shared" si="40"/>
        <v>9.0655385658888523</v>
      </c>
      <c r="I21" s="133">
        <f t="shared" si="40"/>
        <v>8.710592203721145</v>
      </c>
      <c r="J21" s="133">
        <f t="shared" si="40"/>
        <v>8.0689948786479029</v>
      </c>
      <c r="K21" s="133">
        <f t="shared" ref="K21:L21" si="42">K10*1000/K16</f>
        <v>9.0899501828722258</v>
      </c>
      <c r="L21" s="133">
        <f t="shared" si="42"/>
        <v>8.7471808489086378</v>
      </c>
      <c r="M21" s="133">
        <f t="shared" ref="M21:N21" si="43">M10*1000/M16</f>
        <v>9.2784986134408243</v>
      </c>
      <c r="N21" s="133">
        <f t="shared" si="43"/>
        <v>9.3382075467158518</v>
      </c>
      <c r="O21" s="133">
        <f t="shared" ref="O21:Q21" si="44">O10*1000/O16</f>
        <v>10.24100546192426</v>
      </c>
      <c r="P21" s="133">
        <f t="shared" si="44"/>
        <v>8.0722144717645588</v>
      </c>
      <c r="Q21" s="133">
        <f t="shared" si="44"/>
        <v>9.0993997118986396</v>
      </c>
      <c r="R21" s="133">
        <f t="shared" ref="R21:S21" si="45">R10*1000/R16</f>
        <v>7.6815497594902</v>
      </c>
      <c r="S21" s="133">
        <f t="shared" si="45"/>
        <v>7.6994596875676988</v>
      </c>
      <c r="T21" s="133">
        <f t="shared" ref="T21" si="46">T10*1000/T16</f>
        <v>7.4906597147780714</v>
      </c>
    </row>
  </sheetData>
  <pageMargins left="0.7" right="0.7" top="0.75" bottom="0.75" header="0.3" footer="0.3"/>
  <pageSetup orientation="portrait" horizontalDpi="1200" verticalDpi="1200" r:id="rId1"/>
  <ignoredErrors>
    <ignoredError sqref="Q7:Q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Z27"/>
  <sheetViews>
    <sheetView showGridLines="0" workbookViewId="0">
      <pane xSplit="2" ySplit="5" topLeftCell="S6" activePane="bottomRight" state="frozen"/>
      <selection pane="topRight" activeCell="B7" sqref="B7"/>
      <selection pane="bottomLeft" activeCell="B7" sqref="B7"/>
      <selection pane="bottomRight" activeCell="B16" sqref="B16"/>
    </sheetView>
  </sheetViews>
  <sheetFormatPr defaultColWidth="9.140625" defaultRowHeight="12.75" x14ac:dyDescent="0.2"/>
  <cols>
    <col min="1" max="1" width="6.28515625" style="20" customWidth="1"/>
    <col min="2" max="2" width="35.8554687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1" width="12.7109375" style="20" bestFit="1" customWidth="1"/>
    <col min="12" max="12" width="12.7109375" style="20" customWidth="1"/>
    <col min="13" max="16" width="12.7109375" style="20" bestFit="1" customWidth="1"/>
    <col min="17" max="17" width="12.7109375" style="20" customWidth="1"/>
    <col min="18" max="20" width="12.7109375" style="20" bestFit="1" customWidth="1"/>
    <col min="21" max="21" width="13.140625" style="20" customWidth="1"/>
    <col min="22" max="22" width="5.140625" style="20" customWidth="1"/>
    <col min="23" max="23" width="12.42578125" style="20" customWidth="1"/>
    <col min="24" max="25" width="9.140625" style="20"/>
    <col min="26" max="26" width="11" style="20" bestFit="1" customWidth="1"/>
    <col min="27" max="16384" width="9.140625" style="20"/>
  </cols>
  <sheetData>
    <row r="1" spans="1:26" x14ac:dyDescent="0.2">
      <c r="A1" s="162">
        <f>'2024 IR Data Book'!$A$5</f>
        <v>0.27228666339922669</v>
      </c>
    </row>
    <row r="2" spans="1:26" x14ac:dyDescent="0.2">
      <c r="A2" s="162"/>
    </row>
    <row r="3" spans="1:26" ht="15" x14ac:dyDescent="0.25">
      <c r="B3" s="70"/>
    </row>
    <row r="4" spans="1:26" ht="14.25" customHeight="1" x14ac:dyDescent="0.2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175" t="s">
        <v>21</v>
      </c>
      <c r="V4" s="175"/>
      <c r="W4" s="175" t="s">
        <v>21</v>
      </c>
      <c r="X4" s="175"/>
    </row>
    <row r="5" spans="1:26" ht="25.5" customHeight="1" x14ac:dyDescent="0.2">
      <c r="B5" s="74"/>
      <c r="C5" s="202" t="s">
        <v>22</v>
      </c>
      <c r="D5" s="202" t="s">
        <v>23</v>
      </c>
      <c r="E5" s="202" t="s">
        <v>24</v>
      </c>
      <c r="F5" s="202" t="s">
        <v>25</v>
      </c>
      <c r="G5" s="202">
        <v>2021</v>
      </c>
      <c r="H5" s="202" t="s">
        <v>27</v>
      </c>
      <c r="I5" s="202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332</v>
      </c>
      <c r="T5" s="202" t="s">
        <v>342</v>
      </c>
      <c r="U5" s="75" t="s">
        <v>344</v>
      </c>
      <c r="V5" s="202" t="s">
        <v>38</v>
      </c>
      <c r="W5" s="267" t="s">
        <v>343</v>
      </c>
      <c r="X5" s="202" t="s">
        <v>38</v>
      </c>
    </row>
    <row r="6" spans="1:26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6" ht="15" x14ac:dyDescent="0.25">
      <c r="B7" s="180" t="s">
        <v>202</v>
      </c>
      <c r="C7" s="184">
        <f>355617.86422929*(((('2024 IR Data Book'!$A$5))))</f>
        <v>96830.001696152583</v>
      </c>
      <c r="D7" s="184">
        <f>367225.963071906*(((('2024 IR Data Book'!$A$5))))</f>
        <v>99990.732198416925</v>
      </c>
      <c r="E7" s="184">
        <f>460774.931293178*(((('2024 IR Data Book'!$A$5))))</f>
        <v>125462.86861982736</v>
      </c>
      <c r="F7" s="184">
        <f>423957.217825905*(((('2024 IR Data Book'!$A$5))))</f>
        <v>115437.89626583483</v>
      </c>
      <c r="G7" s="184">
        <f>SUM(C7:F7)</f>
        <v>437721.49878023169</v>
      </c>
      <c r="H7" s="184">
        <f>376640.582563042*((('2024 IR Data Book'!$A$5)))</f>
        <v>102554.20752683167</v>
      </c>
      <c r="I7" s="184">
        <f>372494.023368405*((('2024 IR Data Book'!$A$5)))</f>
        <v>101425.15475913658</v>
      </c>
      <c r="J7" s="184">
        <f>(416535.445403061-23294.0574489905-23421.7676629592)*(((('2024 IR Data Book'!$A$5))))</f>
        <v>100696.95046863565</v>
      </c>
      <c r="K7" s="184">
        <f>(L7-H7-I7-J7)</f>
        <v>102850.41502369809</v>
      </c>
      <c r="L7" s="184">
        <f>'[11]Sum Per Produc-22 Vs 21 Express'!$M$5*3.6726*(((('2024 IR Data Book'!$A$5))))</f>
        <v>407526.72777830198</v>
      </c>
      <c r="M7" s="184">
        <f>361652.200640611*((('2024 IR Data Book'!$A$5)))</f>
        <v>98473.071023419645</v>
      </c>
      <c r="N7" s="184">
        <f>351385.075475396*((('2024 IR Data Book'!$A$5)))</f>
        <v>95677.469769481017</v>
      </c>
      <c r="O7" s="184">
        <f>352596.858050362*(((('2024 IR Data Book'!$A$5))))</f>
        <v>96007.422003583823</v>
      </c>
      <c r="P7" s="184">
        <f>'[12]Sum Per Produc-23 Vs 22 Express'!$M$5*3.6726*(((('2024 IR Data Book'!$A$5))))</f>
        <v>98493.04418017494</v>
      </c>
      <c r="Q7" s="184">
        <f>SUM(M7:P7)</f>
        <v>388651.00697665941</v>
      </c>
      <c r="R7" s="184">
        <f>'[13]Sum Per Produc-24 Vs 23 Express'!$M$5*3.6726*(((('2024 IR Data Book'!$A$5))))</f>
        <v>103524.58699481611</v>
      </c>
      <c r="S7" s="184">
        <f>'[14]Sum Per Produc-24 Vs 23 Express'!$M$5*3.6726*(((('2024 IR Data Book'!$A$5))))</f>
        <v>102399.98030298199</v>
      </c>
      <c r="T7" s="184">
        <f>'[15]Sum Per Produc-24 Vs 23 Express'!$M$5*3.6726*(((('2024 IR Data Book'!$A$5))))</f>
        <v>122156.86402257682</v>
      </c>
      <c r="U7" s="185">
        <f>T7-O7</f>
        <v>26149.442018992995</v>
      </c>
      <c r="V7" s="186">
        <f>U7/O7</f>
        <v>0.27236896349551887</v>
      </c>
      <c r="W7" s="185">
        <f>(R7+S7+T7)-(M7+N7+O7)</f>
        <v>37923.468523890479</v>
      </c>
      <c r="X7" s="186">
        <f>W7/(M7+N7+O7)</f>
        <v>0.13069938925126048</v>
      </c>
      <c r="Y7" s="239"/>
      <c r="Z7" s="239"/>
    </row>
    <row r="8" spans="1:26" ht="15" x14ac:dyDescent="0.25">
      <c r="B8" s="181" t="s">
        <v>205</v>
      </c>
      <c r="C8" s="187">
        <f>272903.55434018*(((('2024 IR Data Book'!$A$5))))</f>
        <v>74307.998241077163</v>
      </c>
      <c r="D8" s="187">
        <f>277079.111766491*(((('2024 IR Data Book'!$A$5))))</f>
        <v>75444.94684051926</v>
      </c>
      <c r="E8" s="187">
        <f>333461.818852503*(((('2024 IR Data Book'!$A$5))))</f>
        <v>90797.206026385393</v>
      </c>
      <c r="F8" s="187">
        <f>338998.431841459*(((('2024 IR Data Book'!$A$5))))</f>
        <v>92304.751903681041</v>
      </c>
      <c r="G8" s="187">
        <f>SUM(C8:F8)</f>
        <v>332854.90301166289</v>
      </c>
      <c r="H8" s="187">
        <f>283874.078015839*((('2024 IR Data Book'!$A$5)))</f>
        <v>77295.125528464559</v>
      </c>
      <c r="I8" s="187">
        <f>279463.202311642*((('2024 IR Data Book'!$A$5)))</f>
        <v>76094.102900300059</v>
      </c>
      <c r="J8" s="187">
        <f>(300465.045166131-10873.2471289898-8674.60335571517)*(((('2024 IR Data Book'!$A$5))))</f>
        <v>76490.005631276494</v>
      </c>
      <c r="K8" s="187">
        <f>(L8-H8-I8-J8)</f>
        <v>76822.679021674528</v>
      </c>
      <c r="L8" s="187">
        <f>'[11]Sum Per Produc-22 Vs 21 Express'!$M$9*3.6726*(((('2024 IR Data Book'!$A$5))))</f>
        <v>306701.91308171564</v>
      </c>
      <c r="M8" s="187">
        <f>274015.605019054*((('2024 IR Data Book'!$A$5)))</f>
        <v>74610.794809958621</v>
      </c>
      <c r="N8" s="187">
        <f>276794.093641297*((('2024 IR Data Book'!$A$5)))</f>
        <v>75367.340206201872</v>
      </c>
      <c r="O8" s="187">
        <f>280432.682259024*(((('2024 IR Data Book'!$A$5))))</f>
        <v>76358.079360405158</v>
      </c>
      <c r="P8" s="187">
        <f>'[12]Sum Per Produc-23 Vs 22 Express'!$M$9*3.6726*(((('2024 IR Data Book'!$A$5))))</f>
        <v>77136.398759450138</v>
      </c>
      <c r="Q8" s="187">
        <f>SUM(M8:P8)</f>
        <v>303472.61313601577</v>
      </c>
      <c r="R8" s="187">
        <f>'[13]Sum Per Produc-24 Vs 23 Express'!$M$9*3.6726*(((('2024 IR Data Book'!$A$5))))</f>
        <v>77710.502793126259</v>
      </c>
      <c r="S8" s="187">
        <f>'[14]Sum Per Produc-24 Vs 23 Express'!$M$9*3.6726*(((('2024 IR Data Book'!$A$5))))</f>
        <v>80226.200089362188</v>
      </c>
      <c r="T8" s="187">
        <f>'[15]Sum Per Produc-24 Vs 23 Express'!$M$9*3.6726*(((('2024 IR Data Book'!$A$5))))</f>
        <v>92588.383466126659</v>
      </c>
      <c r="U8" s="188">
        <f>T8-O8</f>
        <v>16230.304105721501</v>
      </c>
      <c r="V8" s="189">
        <f>U8/O8</f>
        <v>0.21255516432145344</v>
      </c>
      <c r="W8" s="188">
        <f>(R8+S8+T8)-(M8+N8+O8)</f>
        <v>24188.871972049441</v>
      </c>
      <c r="X8" s="189">
        <f>W8/(M8+N8+O8)</f>
        <v>0.106871417102547</v>
      </c>
      <c r="Y8" s="239"/>
      <c r="Z8" s="239"/>
    </row>
    <row r="9" spans="1:26" ht="15" x14ac:dyDescent="0.25">
      <c r="B9" s="180" t="s">
        <v>206</v>
      </c>
      <c r="C9" s="184">
        <f>(C7-C8)</f>
        <v>22522.003455075421</v>
      </c>
      <c r="D9" s="184">
        <f>(D7-D8)</f>
        <v>24545.785357897665</v>
      </c>
      <c r="E9" s="184">
        <f>(E7-E8)</f>
        <v>34665.662593441972</v>
      </c>
      <c r="F9" s="184">
        <f>(F7-F8)</f>
        <v>23133.144362153791</v>
      </c>
      <c r="G9" s="184">
        <f>(G7-G8)</f>
        <v>104866.5957685688</v>
      </c>
      <c r="H9" s="184">
        <f>(H7-H8)</f>
        <v>25259.08199836711</v>
      </c>
      <c r="I9" s="184">
        <f>(I7-I8)</f>
        <v>25331.051858836523</v>
      </c>
      <c r="J9" s="184">
        <f>(J7-J8)</f>
        <v>24206.944837359159</v>
      </c>
      <c r="K9" s="184">
        <f>(K7-K8)</f>
        <v>26027.736002023565</v>
      </c>
      <c r="L9" s="184">
        <f>(L7-L8)</f>
        <v>100824.81469658634</v>
      </c>
      <c r="M9" s="184">
        <f>(M7-M8)</f>
        <v>23862.276213461024</v>
      </c>
      <c r="N9" s="184">
        <f>(N7-N8)</f>
        <v>20310.129563279144</v>
      </c>
      <c r="O9" s="184">
        <f>(O7-O8)</f>
        <v>19649.342643178665</v>
      </c>
      <c r="P9" s="184">
        <f>(P7-P8)</f>
        <v>21356.645420724803</v>
      </c>
      <c r="Q9" s="184">
        <f>(Q7-Q8)</f>
        <v>85178.393840643635</v>
      </c>
      <c r="R9" s="184">
        <f>(R7-R8)</f>
        <v>25814.084201689853</v>
      </c>
      <c r="S9" s="184">
        <f>(S7-S8)</f>
        <v>22173.780213619801</v>
      </c>
      <c r="T9" s="184">
        <f>(T7-T8)</f>
        <v>29568.480556450158</v>
      </c>
      <c r="U9" s="185">
        <f>T9-O9</f>
        <v>9919.1379132714937</v>
      </c>
      <c r="V9" s="186">
        <f>U9/O9</f>
        <v>0.50480762096715515</v>
      </c>
      <c r="W9" s="185">
        <f>(R9+S9+T9)-(M9+N9+O9)</f>
        <v>13734.596551840979</v>
      </c>
      <c r="X9" s="186">
        <f>W9/(M9+N9+O9)</f>
        <v>0.21520244888111523</v>
      </c>
      <c r="Y9" s="239"/>
      <c r="Z9" s="239"/>
    </row>
    <row r="10" spans="1:26" ht="15" x14ac:dyDescent="0.25">
      <c r="B10" s="182" t="s">
        <v>207</v>
      </c>
      <c r="C10" s="190">
        <f>C9/C7</f>
        <v>0.23259323619293404</v>
      </c>
      <c r="D10" s="190">
        <f>D9/D7</f>
        <v>0.24548060423430201</v>
      </c>
      <c r="E10" s="190">
        <f>E9/E7</f>
        <v>0.27630216792256279</v>
      </c>
      <c r="F10" s="190">
        <f>F9/F7</f>
        <v>0.20039471534444717</v>
      </c>
      <c r="G10" s="190">
        <f>G9/G7</f>
        <v>0.23957378392606557</v>
      </c>
      <c r="H10" s="190">
        <f>H9/H7</f>
        <v>0.24629981165578677</v>
      </c>
      <c r="I10" s="190">
        <f>I9/I7</f>
        <v>0.24975117779206199</v>
      </c>
      <c r="J10" s="190">
        <f>J9/J7</f>
        <v>0.24039402111684563</v>
      </c>
      <c r="K10" s="190">
        <f>K9/K7</f>
        <v>0.25306398613973924</v>
      </c>
      <c r="L10" s="190">
        <f>L9/L7</f>
        <v>0.24740663083928055</v>
      </c>
      <c r="M10" s="190">
        <f>M9/M7</f>
        <v>0.24232286010239193</v>
      </c>
      <c r="N10" s="190">
        <f>N9/N7</f>
        <v>0.21227703462699243</v>
      </c>
      <c r="O10" s="190">
        <f>O9/O7</f>
        <v>0.20466482937584954</v>
      </c>
      <c r="P10" s="190">
        <f>P9/P7</f>
        <v>0.21683404750549432</v>
      </c>
      <c r="Q10" s="190">
        <f>Q9/Q7</f>
        <v>0.21916421754121188</v>
      </c>
      <c r="R10" s="190">
        <f>R9/R7</f>
        <v>0.24935220657274842</v>
      </c>
      <c r="S10" s="190">
        <f>S9/S7</f>
        <v>0.21654086405106543</v>
      </c>
      <c r="T10" s="190">
        <f>T9/T7</f>
        <v>0.24205336960013449</v>
      </c>
      <c r="U10" s="190"/>
      <c r="V10" s="190"/>
      <c r="W10" s="190"/>
      <c r="X10" s="190"/>
    </row>
    <row r="12" spans="1:26" x14ac:dyDescent="0.2">
      <c r="B12" s="178" t="s">
        <v>213</v>
      </c>
      <c r="C12" s="179"/>
      <c r="D12" s="179"/>
      <c r="E12" s="179"/>
      <c r="F12" s="179"/>
      <c r="G12" s="179"/>
      <c r="H12" s="179"/>
      <c r="I12" s="179"/>
      <c r="J12" s="179"/>
      <c r="K12" s="25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6" x14ac:dyDescent="0.2">
      <c r="B13" s="78"/>
      <c r="C13" s="89"/>
      <c r="D13" s="89"/>
      <c r="E13" s="89"/>
      <c r="F13" s="89"/>
      <c r="G13" s="89"/>
      <c r="H13" s="8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6" x14ac:dyDescent="0.2">
      <c r="B14" s="78" t="s">
        <v>214</v>
      </c>
      <c r="C14" s="89">
        <v>25388838</v>
      </c>
      <c r="D14" s="89">
        <v>25800486</v>
      </c>
      <c r="E14" s="89">
        <v>27600108</v>
      </c>
      <c r="F14" s="89">
        <v>29436845</v>
      </c>
      <c r="G14" s="89">
        <f>SUM(C14:F14)</f>
        <v>108226277</v>
      </c>
      <c r="H14" s="89">
        <v>25008344</v>
      </c>
      <c r="I14" s="28">
        <v>24101160</v>
      </c>
      <c r="J14" s="28">
        <v>24481680</v>
      </c>
      <c r="K14" s="28">
        <v>26477337</v>
      </c>
      <c r="L14" s="28">
        <f>SUM(H14:K14)</f>
        <v>100068521</v>
      </c>
      <c r="M14" s="28">
        <v>24620104</v>
      </c>
      <c r="N14" s="28">
        <v>24232178</v>
      </c>
      <c r="O14" s="28">
        <v>24542273</v>
      </c>
      <c r="P14" s="28">
        <v>26596092</v>
      </c>
      <c r="Q14" s="28">
        <f>SUM(M14:P14)</f>
        <v>99990647</v>
      </c>
      <c r="R14" s="28">
        <v>26228288</v>
      </c>
      <c r="S14" s="28">
        <f>'Aramex Courier'!S19</f>
        <v>25108777</v>
      </c>
      <c r="T14" s="28">
        <f>'Aramex Courier'!T19</f>
        <v>28887967</v>
      </c>
      <c r="U14" s="28"/>
      <c r="W14" s="28"/>
    </row>
    <row r="15" spans="1:26" ht="13.5" thickBot="1" x14ac:dyDescent="0.25">
      <c r="B15" s="90" t="s">
        <v>354</v>
      </c>
      <c r="C15" s="91">
        <f t="shared" ref="C15:J15" si="0">SUM(C13:C14)</f>
        <v>25388838</v>
      </c>
      <c r="D15" s="91">
        <f t="shared" si="0"/>
        <v>25800486</v>
      </c>
      <c r="E15" s="91">
        <f t="shared" si="0"/>
        <v>27600108</v>
      </c>
      <c r="F15" s="91">
        <f t="shared" si="0"/>
        <v>29436845</v>
      </c>
      <c r="G15" s="91">
        <f t="shared" si="0"/>
        <v>108226277</v>
      </c>
      <c r="H15" s="91">
        <f t="shared" si="0"/>
        <v>25008344</v>
      </c>
      <c r="I15" s="91">
        <f t="shared" si="0"/>
        <v>24101160</v>
      </c>
      <c r="J15" s="91">
        <f t="shared" si="0"/>
        <v>24481680</v>
      </c>
      <c r="K15" s="91">
        <f t="shared" ref="K15:L15" si="1">SUM(K13:K14)</f>
        <v>26477337</v>
      </c>
      <c r="L15" s="91">
        <f t="shared" si="1"/>
        <v>100068521</v>
      </c>
      <c r="M15" s="91">
        <f t="shared" ref="M15:N15" si="2">SUM(M13:M14)</f>
        <v>24620104</v>
      </c>
      <c r="N15" s="91">
        <f t="shared" si="2"/>
        <v>24232178</v>
      </c>
      <c r="O15" s="91">
        <f t="shared" ref="O15:Q15" si="3">SUM(O13:O14)</f>
        <v>24542273</v>
      </c>
      <c r="P15" s="91">
        <f t="shared" si="3"/>
        <v>26596092</v>
      </c>
      <c r="Q15" s="91">
        <f t="shared" si="3"/>
        <v>99990647</v>
      </c>
      <c r="R15" s="91">
        <f t="shared" ref="R15:S15" si="4">SUM(R13:R14)</f>
        <v>26228288</v>
      </c>
      <c r="S15" s="91">
        <f t="shared" si="4"/>
        <v>25108777</v>
      </c>
      <c r="T15" s="91">
        <f t="shared" ref="T15" si="5">SUM(T13:T14)</f>
        <v>28887967</v>
      </c>
      <c r="U15" s="147">
        <f>T15+'Aramex Express+Parcel Forwardin'!T16-'Aramex Courier'!T21</f>
        <v>0</v>
      </c>
      <c r="W15" s="147">
        <f>V15+'Aramex Express+Parcel Forwardin'!V16-'Aramex Courier'!V21</f>
        <v>0</v>
      </c>
    </row>
    <row r="16" spans="1:26" ht="13.5" thickTop="1" x14ac:dyDescent="0.2"/>
    <row r="17" spans="2:24" x14ac:dyDescent="0.2">
      <c r="B17" s="178" t="s">
        <v>217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</row>
    <row r="18" spans="2:24" x14ac:dyDescent="0.2">
      <c r="B18" s="78" t="s">
        <v>224</v>
      </c>
      <c r="C18" s="88">
        <f>(C7*1000)/C14</f>
        <v>3.8138807965985912</v>
      </c>
      <c r="D18" s="88">
        <f>(D7*1000)/D14</f>
        <v>3.8755367708351276</v>
      </c>
      <c r="E18" s="88">
        <f>(E7*1000)/E14</f>
        <v>4.5457383217423413</v>
      </c>
      <c r="F18" s="88">
        <f>(F7*1000)/F14</f>
        <v>3.9215444544357534</v>
      </c>
      <c r="G18" s="88">
        <f>(G7*1000)/G14</f>
        <v>4.0445029702004041</v>
      </c>
      <c r="H18" s="209">
        <f>(H7*1000)/H14</f>
        <v>4.1007996181926991</v>
      </c>
      <c r="I18" s="209">
        <f>(I7*1000)/I14</f>
        <v>4.2083100879433433</v>
      </c>
      <c r="J18" s="209">
        <f>(J7*1000)/J14</f>
        <v>4.113155243783746</v>
      </c>
      <c r="K18" s="209">
        <f>(K7*1000)/K14</f>
        <v>3.8844697646027653</v>
      </c>
      <c r="L18" s="209">
        <f>(L7*1000)/L14</f>
        <v>4.0724767759713565</v>
      </c>
      <c r="M18" s="209">
        <f>(M7*1000)/M14</f>
        <v>3.9997016675242172</v>
      </c>
      <c r="N18" s="209">
        <f>(N7*1000)/N14</f>
        <v>3.948364433831784</v>
      </c>
      <c r="O18" s="209">
        <f>(O7*1000)/O14</f>
        <v>3.9119205463806805</v>
      </c>
      <c r="P18" s="209">
        <f>(P7*1000)/P14</f>
        <v>3.7032900991685151</v>
      </c>
      <c r="Q18" s="209">
        <f>(Q7*1000)/Q14</f>
        <v>3.8868736090552489</v>
      </c>
      <c r="R18" s="209">
        <f>(R7*1000)/R14</f>
        <v>3.9470584963386139</v>
      </c>
      <c r="S18" s="209">
        <f>(S7*1000)/S14</f>
        <v>4.0782544009603487</v>
      </c>
      <c r="T18" s="209">
        <f>(T7*1000)/T14</f>
        <v>4.2286417740153475</v>
      </c>
      <c r="V18" s="133"/>
      <c r="X18" s="133"/>
    </row>
    <row r="19" spans="2:24" x14ac:dyDescent="0.2">
      <c r="B19" s="78" t="s">
        <v>225</v>
      </c>
      <c r="C19" s="133">
        <f>C8*1000/C15</f>
        <v>2.92679791966364</v>
      </c>
      <c r="D19" s="133">
        <f>D8*1000/D15</f>
        <v>2.9241676625982653</v>
      </c>
      <c r="E19" s="133">
        <f>E8*1000/E15</f>
        <v>3.2897409686362602</v>
      </c>
      <c r="F19" s="133">
        <f>F8*1000/F15</f>
        <v>3.135687669778505</v>
      </c>
      <c r="G19" s="133">
        <f>G8*1000/G15</f>
        <v>3.0755460895292823</v>
      </c>
      <c r="H19" s="133">
        <f>H8*1000/H15</f>
        <v>3.0907734445937147</v>
      </c>
      <c r="I19" s="133">
        <f>I8*1000/I15</f>
        <v>3.1572796869652771</v>
      </c>
      <c r="J19" s="133">
        <f>J8*1000/J15</f>
        <v>3.1243773152527314</v>
      </c>
      <c r="K19" s="133">
        <f>K8*1000/K15</f>
        <v>2.9014503619330951</v>
      </c>
      <c r="L19" s="133">
        <f>L8*1000/L15</f>
        <v>3.0649190176570675</v>
      </c>
      <c r="M19" s="133">
        <f>M8*1000/M15</f>
        <v>3.0304825198934426</v>
      </c>
      <c r="N19" s="133">
        <f>N8*1000/N15</f>
        <v>3.1102173401912889</v>
      </c>
      <c r="O19" s="133">
        <f>O8*1000/O15</f>
        <v>3.1112879952237988</v>
      </c>
      <c r="P19" s="133">
        <f>P8*1000/P15</f>
        <v>2.9002907178787822</v>
      </c>
      <c r="Q19" s="133">
        <f>Q8*1000/Q15</f>
        <v>3.0350099958450691</v>
      </c>
      <c r="R19" s="133">
        <f>R8*1000/R15</f>
        <v>2.9628507508048658</v>
      </c>
      <c r="S19" s="133">
        <f>S8*1000/S15</f>
        <v>3.1951456691563349</v>
      </c>
      <c r="T19" s="133">
        <f>T8*1000/T15</f>
        <v>3.2050847837830423</v>
      </c>
      <c r="V19" s="133"/>
      <c r="X19" s="133"/>
    </row>
    <row r="20" spans="2:24" x14ac:dyDescent="0.2">
      <c r="B20" s="78" t="s">
        <v>226</v>
      </c>
      <c r="C20" s="133">
        <f t="shared" ref="C20:J20" si="6">C9*1000/C15</f>
        <v>0.88708287693495147</v>
      </c>
      <c r="D20" s="133">
        <f t="shared" si="6"/>
        <v>0.95136910823686283</v>
      </c>
      <c r="E20" s="133">
        <f t="shared" si="6"/>
        <v>1.2559973531060811</v>
      </c>
      <c r="F20" s="133">
        <f t="shared" si="6"/>
        <v>0.78585678465724806</v>
      </c>
      <c r="G20" s="133">
        <f t="shared" ref="G20" si="7">G9*1000/G15</f>
        <v>0.96895688067112207</v>
      </c>
      <c r="H20" s="133">
        <f t="shared" si="6"/>
        <v>1.0100261735989839</v>
      </c>
      <c r="I20" s="133">
        <f t="shared" si="6"/>
        <v>1.051030400978066</v>
      </c>
      <c r="J20" s="133">
        <f t="shared" si="6"/>
        <v>0.98877792853101421</v>
      </c>
      <c r="K20" s="133">
        <f t="shared" ref="K20:L20" si="8">K9*1000/K15</f>
        <v>0.98301940266967036</v>
      </c>
      <c r="L20" s="133">
        <f t="shared" si="8"/>
        <v>1.007557758314289</v>
      </c>
      <c r="M20" s="133">
        <f t="shared" ref="M20:N20" si="9">M9*1000/M15</f>
        <v>0.96921914763077455</v>
      </c>
      <c r="N20" s="133">
        <f t="shared" si="9"/>
        <v>0.83814709364049511</v>
      </c>
      <c r="O20" s="133">
        <f t="shared" ref="O20:Q20" si="10">O9*1000/O15</f>
        <v>0.80063255115688203</v>
      </c>
      <c r="P20" s="133">
        <f t="shared" si="10"/>
        <v>0.80299938128973236</v>
      </c>
      <c r="Q20" s="133">
        <f t="shared" si="10"/>
        <v>0.85186361321017989</v>
      </c>
      <c r="R20" s="133">
        <f t="shared" ref="R20:S20" si="11">R9*1000/R15</f>
        <v>0.9842077455337479</v>
      </c>
      <c r="S20" s="133">
        <f t="shared" si="11"/>
        <v>0.88310873180401428</v>
      </c>
      <c r="T20" s="133">
        <f t="shared" ref="T20" si="12">T9*1000/T15</f>
        <v>1.0235569902323054</v>
      </c>
    </row>
    <row r="21" spans="2:24" x14ac:dyDescent="0.2">
      <c r="B21" s="58"/>
    </row>
    <row r="24" spans="2:24" x14ac:dyDescent="0.2"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</row>
    <row r="25" spans="2:24" x14ac:dyDescent="0.2">
      <c r="E25" s="147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6" spans="2:24" ht="15" x14ac:dyDescent="0.25">
      <c r="B26" s="214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</row>
    <row r="27" spans="2:24" x14ac:dyDescent="0.2">
      <c r="K27" s="13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AD24"/>
  <sheetViews>
    <sheetView showGridLines="0" workbookViewId="0">
      <pane xSplit="2" ySplit="6" topLeftCell="S9" activePane="bottomRight" state="frozen"/>
      <selection pane="topRight" activeCell="B7" sqref="B7"/>
      <selection pane="bottomLeft" activeCell="B7" sqref="B7"/>
      <selection pane="bottomRight" activeCell="V16" sqref="V16"/>
    </sheetView>
  </sheetViews>
  <sheetFormatPr defaultColWidth="9.140625" defaultRowHeight="15" x14ac:dyDescent="0.25"/>
  <cols>
    <col min="1" max="1" width="9.140625" style="20"/>
    <col min="2" max="2" width="25.5703125" style="70" bestFit="1" customWidth="1"/>
    <col min="3" max="3" width="13.28515625" style="20" bestFit="1" customWidth="1"/>
    <col min="4" max="5" width="12.7109375" style="20" customWidth="1"/>
    <col min="6" max="7" width="13.7109375" style="20" customWidth="1"/>
    <col min="8" max="8" width="12.7109375" style="20" customWidth="1"/>
    <col min="9" max="9" width="12.7109375" style="20" bestFit="1" customWidth="1"/>
    <col min="10" max="11" width="13.5703125" style="20" bestFit="1" customWidth="1"/>
    <col min="12" max="12" width="13.5703125" style="20" customWidth="1"/>
    <col min="13" max="16" width="13.5703125" style="20" bestFit="1" customWidth="1"/>
    <col min="17" max="17" width="13.5703125" style="20" customWidth="1"/>
    <col min="18" max="20" width="13.5703125" style="20" bestFit="1" customWidth="1"/>
    <col min="21" max="21" width="12.85546875" style="20" bestFit="1" customWidth="1"/>
    <col min="22" max="22" width="5.42578125" style="20" bestFit="1" customWidth="1"/>
    <col min="23" max="23" width="11.7109375" style="20" customWidth="1"/>
    <col min="24" max="24" width="5.42578125" style="20" bestFit="1" customWidth="1"/>
    <col min="25" max="25" width="9.140625" style="20" customWidth="1"/>
    <col min="26" max="26" width="11.7109375" style="20" customWidth="1"/>
    <col min="27" max="27" width="10" style="89" bestFit="1" customWidth="1"/>
    <col min="28" max="28" width="9.140625" style="20"/>
    <col min="29" max="29" width="11" style="20" bestFit="1" customWidth="1"/>
    <col min="30" max="16384" width="9.140625" style="20"/>
  </cols>
  <sheetData>
    <row r="2" spans="1:30" x14ac:dyDescent="0.25">
      <c r="A2" s="162">
        <f>'2024 IR Data Book'!$A$5</f>
        <v>0.27228666339922669</v>
      </c>
    </row>
    <row r="3" spans="1:30" x14ac:dyDescent="0.25">
      <c r="A3" s="162"/>
    </row>
    <row r="4" spans="1:30" ht="12.75" x14ac:dyDescent="0.2">
      <c r="B4" s="72" t="s">
        <v>20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269" t="s">
        <v>21</v>
      </c>
      <c r="V4" s="269"/>
      <c r="W4" s="269" t="s">
        <v>21</v>
      </c>
      <c r="X4" s="269"/>
      <c r="Z4" s="71"/>
    </row>
    <row r="5" spans="1:30" ht="26.25" customHeight="1" x14ac:dyDescent="0.2">
      <c r="B5" s="134"/>
      <c r="C5" s="75" t="s">
        <v>22</v>
      </c>
      <c r="D5" s="75" t="s">
        <v>23</v>
      </c>
      <c r="E5" s="75" t="s">
        <v>24</v>
      </c>
      <c r="F5" s="75" t="s">
        <v>25</v>
      </c>
      <c r="G5" s="75">
        <v>2021</v>
      </c>
      <c r="H5" s="75" t="s">
        <v>27</v>
      </c>
      <c r="I5" s="75" t="s">
        <v>28</v>
      </c>
      <c r="J5" s="202" t="s">
        <v>29</v>
      </c>
      <c r="K5" s="202" t="s">
        <v>30</v>
      </c>
      <c r="L5" s="202">
        <v>2022</v>
      </c>
      <c r="M5" s="202" t="s">
        <v>32</v>
      </c>
      <c r="N5" s="202" t="s">
        <v>33</v>
      </c>
      <c r="O5" s="202" t="s">
        <v>34</v>
      </c>
      <c r="P5" s="202" t="s">
        <v>35</v>
      </c>
      <c r="Q5" s="202">
        <v>2023</v>
      </c>
      <c r="R5" s="202" t="s">
        <v>37</v>
      </c>
      <c r="S5" s="202" t="s">
        <v>332</v>
      </c>
      <c r="T5" s="202" t="s">
        <v>342</v>
      </c>
      <c r="U5" s="75" t="s">
        <v>344</v>
      </c>
      <c r="V5" s="202" t="s">
        <v>38</v>
      </c>
      <c r="W5" s="267" t="s">
        <v>343</v>
      </c>
      <c r="X5" s="202" t="s">
        <v>38</v>
      </c>
    </row>
    <row r="6" spans="1:30" ht="12.75" x14ac:dyDescent="0.2">
      <c r="B6" s="76"/>
      <c r="C6" s="77"/>
      <c r="D6" s="77"/>
      <c r="E6" s="77"/>
      <c r="F6" s="77"/>
      <c r="G6" s="77"/>
    </row>
    <row r="7" spans="1:30" x14ac:dyDescent="0.25">
      <c r="B7" s="180" t="s">
        <v>202</v>
      </c>
      <c r="C7" s="184">
        <f>288280.575940776*('2024 IR Data Book'!$A$5)</f>
        <v>78494.956145721284</v>
      </c>
      <c r="D7" s="184">
        <f>328594.887287615*('2024 IR Data Book'!$A$5)</f>
        <v>89472.005469589654</v>
      </c>
      <c r="E7" s="184">
        <f>317999.956029371*('2024 IR Data Book'!$A$5)</f>
        <v>86587.146988338238</v>
      </c>
      <c r="F7" s="184">
        <f>390676.023992678*('2024 IR Data Book'!$A$5)</f>
        <v>106375.87104304251</v>
      </c>
      <c r="G7" s="184">
        <f>SUM(C7:F7)</f>
        <v>360929.9796466917</v>
      </c>
      <c r="H7" s="184">
        <f>391132.666929349*((('2024 IR Data Book'!$A$5)))</f>
        <v>106500.2088246335</v>
      </c>
      <c r="I7" s="184">
        <f>432410.059701346*(((('2024 IR Data Book'!$A$5))))</f>
        <v>117739.49237633991</v>
      </c>
      <c r="J7" s="184">
        <f>439529.933418189*(('2024 IR Data Book'!$A$5))</f>
        <v>119678.13903452294</v>
      </c>
      <c r="K7" s="184">
        <f>(L7-H7-I7-J7)</f>
        <v>114715.16216186176</v>
      </c>
      <c r="L7" s="184">
        <f>'[11]Summary Per Product-22 Vs 21'!$H$5*3.6726*(('2024 IR Data Book'!$A$5))</f>
        <v>458633.00239735813</v>
      </c>
      <c r="M7" s="184">
        <f>385432.399304953*((('2024 IR Data Book'!$A$5)))</f>
        <v>104948.10197270407</v>
      </c>
      <c r="N7" s="184">
        <f>358609.429712727*(((('2024 IR Data Book'!$A$5))))</f>
        <v>97644.56507997794</v>
      </c>
      <c r="O7" s="184">
        <f>367911.179337307*(((('2024 IR Data Book'!$A$5))))</f>
        <v>100177.30744902983</v>
      </c>
      <c r="P7" s="184">
        <f>'[12]Sum Per Produc-23 Vs 22 Express'!$R$5*3.6726*(((('2024 IR Data Book'!$A$5))))</f>
        <v>104535.36682249529</v>
      </c>
      <c r="Q7" s="184">
        <f>SUM(M7:P7)</f>
        <v>407305.34132420714</v>
      </c>
      <c r="R7" s="184">
        <f>'[13]Sum Per Produc-24 Vs 23 Express'!$R$5*3.6726*(((('2024 IR Data Book'!$A$5))))</f>
        <v>108517.03238421441</v>
      </c>
      <c r="S7" s="184">
        <f>'[14]Sum Per Produc-24 Vs 23 Express'!$R$5*3.6726*(((('2024 IR Data Book'!$A$5))))</f>
        <v>111982.32309227098</v>
      </c>
      <c r="T7" s="184">
        <f>'[15]Sum Per Produc-24 Vs 23 Express'!$R$5*3.6726*(((('2024 IR Data Book'!$A$5))))</f>
        <v>122443.46142186402</v>
      </c>
      <c r="U7" s="185">
        <f>T7-O7</f>
        <v>22266.153972834189</v>
      </c>
      <c r="V7" s="186">
        <f>U7/O7</f>
        <v>0.22226744299514337</v>
      </c>
      <c r="W7" s="185">
        <f>(R7+S7+T7)-(M7+N7+O7)</f>
        <v>40172.842396637599</v>
      </c>
      <c r="X7" s="186">
        <f>W7/(M7+N7+O7)</f>
        <v>0.13268436694474955</v>
      </c>
      <c r="Z7" s="209"/>
      <c r="AB7" s="239"/>
      <c r="AC7" s="83"/>
      <c r="AD7" s="83"/>
    </row>
    <row r="8" spans="1:30" x14ac:dyDescent="0.25">
      <c r="B8" s="181" t="s">
        <v>205</v>
      </c>
      <c r="C8" s="187">
        <f>251447.615478377*('2024 IR Data Book'!$A$5)</f>
        <v>68465.832238299015</v>
      </c>
      <c r="D8" s="187">
        <f>294641.538103587*('2024 IR Data Book'!$A$5)</f>
        <v>80226.961309041813</v>
      </c>
      <c r="E8" s="187">
        <f>279789.238512976*('2024 IR Data Book'!$A$5)</f>
        <v>76182.878209708637</v>
      </c>
      <c r="F8" s="187">
        <f>345797.662241694*('2024 IR Data Book'!$A$5)</f>
        <v>94156.091663043611</v>
      </c>
      <c r="G8" s="187">
        <f>SUM(C8:F8)</f>
        <v>319031.76342009311</v>
      </c>
      <c r="H8" s="187">
        <f>339079.397942397*((('2024 IR Data Book'!$A$5)))</f>
        <v>92326.797893153882</v>
      </c>
      <c r="I8" s="187">
        <f>374509.42866716*(((('2024 IR Data Book'!$A$5))))</f>
        <v>101973.92274333168</v>
      </c>
      <c r="J8" s="187">
        <f>((378656.481028786--91.1288848682041))*(('2024 IR Data Book'!$A$5))</f>
        <v>103127.92297382078</v>
      </c>
      <c r="K8" s="187">
        <f>(L8-H8-I8-J8)</f>
        <v>97845.256483920952</v>
      </c>
      <c r="L8" s="187">
        <f>'[11]Summary Per Product-22 Vs 21'!$H$9*3.6726*(('2024 IR Data Book'!$A$5))</f>
        <v>395273.90009422728</v>
      </c>
      <c r="M8" s="187">
        <f>324281.391121137*((('2024 IR Data Book'!$A$5)))</f>
        <v>88297.497990834017</v>
      </c>
      <c r="N8" s="187">
        <f>302008.823645774*(((('2024 IR Data Book'!$A$5))))</f>
        <v>82232.974907633281</v>
      </c>
      <c r="O8" s="187">
        <f>309597.048058527*(((('2024 IR Data Book'!$A$5))))</f>
        <v>84299.147214106357</v>
      </c>
      <c r="P8" s="187">
        <f>'[12]Sum Per Produc-23 Vs 22 Express'!$R$9*3.6726*(((('2024 IR Data Book'!$A$5))))</f>
        <v>90030.02568641174</v>
      </c>
      <c r="Q8" s="187">
        <f>SUM(M8:P8)</f>
        <v>344859.64579898538</v>
      </c>
      <c r="R8" s="187">
        <f>'[13]Sum Per Produc-24 Vs 23 Express'!$R$9*3.6726*(((('2024 IR Data Book'!$A$5))))</f>
        <v>93122.703572976287</v>
      </c>
      <c r="S8" s="187">
        <f>'[14]Sum Per Produc-24 Vs 23 Express'!$R$9*3.6726*(((('2024 IR Data Book'!$A$5))))</f>
        <v>97845.254160187047</v>
      </c>
      <c r="T8" s="187">
        <f>'[15]Sum Per Produc-24 Vs 23 Express'!$R$9*3.6726*(((('2024 IR Data Book'!$A$5))))</f>
        <v>107886.87717193968</v>
      </c>
      <c r="U8" s="188">
        <f>T8-O8</f>
        <v>23587.729957833319</v>
      </c>
      <c r="V8" s="189">
        <f>U8/O8</f>
        <v>0.27980982889333689</v>
      </c>
      <c r="W8" s="188">
        <f>(R8+S8+T8)-(M8+N8+O8)</f>
        <v>44025.214792529296</v>
      </c>
      <c r="X8" s="189">
        <f>W8/(M8+N8+O8)</f>
        <v>0.17276333407819974</v>
      </c>
      <c r="Z8" s="209"/>
      <c r="AB8" s="239"/>
    </row>
    <row r="9" spans="1:30" x14ac:dyDescent="0.25">
      <c r="B9" s="180" t="s">
        <v>206</v>
      </c>
      <c r="C9" s="184">
        <f>C7-C8</f>
        <v>10029.123907422269</v>
      </c>
      <c r="D9" s="184">
        <f t="shared" ref="D9:I9" si="0">D7-D8</f>
        <v>9245.0441605478409</v>
      </c>
      <c r="E9" s="184">
        <f t="shared" si="0"/>
        <v>10404.268778629601</v>
      </c>
      <c r="F9" s="184">
        <f t="shared" si="0"/>
        <v>12219.779379998901</v>
      </c>
      <c r="G9" s="184">
        <f t="shared" ref="G9" si="1">G7-G8</f>
        <v>41898.216226598597</v>
      </c>
      <c r="H9" s="184">
        <f t="shared" si="0"/>
        <v>14173.410931479622</v>
      </c>
      <c r="I9" s="184">
        <f t="shared" si="0"/>
        <v>15765.569633008228</v>
      </c>
      <c r="J9" s="184">
        <f t="shared" ref="J9:K9" si="2">J7-J8</f>
        <v>16550.216060702165</v>
      </c>
      <c r="K9" s="184">
        <f t="shared" si="2"/>
        <v>16869.905677940813</v>
      </c>
      <c r="L9" s="184">
        <f t="shared" ref="L9" si="3">L7-L8</f>
        <v>63359.102303130843</v>
      </c>
      <c r="M9" s="184">
        <f t="shared" ref="M9" si="4">M7-M8</f>
        <v>16650.603981870052</v>
      </c>
      <c r="N9" s="184">
        <f t="shared" ref="N9:O9" si="5">N7-N8</f>
        <v>15411.590172344659</v>
      </c>
      <c r="O9" s="184">
        <f t="shared" si="5"/>
        <v>15878.160234923474</v>
      </c>
      <c r="P9" s="184">
        <f t="shared" ref="P9:Q9" si="6">P7-P8</f>
        <v>14505.341136083545</v>
      </c>
      <c r="Q9" s="184">
        <f t="shared" si="6"/>
        <v>62445.695525221759</v>
      </c>
      <c r="R9" s="184">
        <f t="shared" ref="R9:S9" si="7">R7-R8</f>
        <v>15394.328811238127</v>
      </c>
      <c r="S9" s="184">
        <f t="shared" si="7"/>
        <v>14137.06893208393</v>
      </c>
      <c r="T9" s="184">
        <f t="shared" ref="T9" si="8">T7-T8</f>
        <v>14556.584249924344</v>
      </c>
      <c r="U9" s="184">
        <f>T9-O9</f>
        <v>-1321.57598499913</v>
      </c>
      <c r="V9" s="186">
        <f>U9/O9</f>
        <v>-8.3232311895453007E-2</v>
      </c>
      <c r="W9" s="184">
        <f>(R9+S9+T9)-(M9+N9+O9)</f>
        <v>-3852.3723958917835</v>
      </c>
      <c r="X9" s="186">
        <f>W9/(M9+N9+O9)</f>
        <v>-8.0357611973861695E-2</v>
      </c>
      <c r="Z9" s="209"/>
      <c r="AB9" s="239"/>
      <c r="AC9" s="83"/>
      <c r="AD9" s="83"/>
    </row>
    <row r="10" spans="1:30" x14ac:dyDescent="0.25">
      <c r="B10" s="182" t="s">
        <v>207</v>
      </c>
      <c r="C10" s="190">
        <f>C9/C7</f>
        <v>0.12776774967303361</v>
      </c>
      <c r="D10" s="190">
        <f t="shared" ref="D10:I10" si="9">D9/D7</f>
        <v>0.10332890284537222</v>
      </c>
      <c r="E10" s="190">
        <f t="shared" si="9"/>
        <v>0.12015950566001295</v>
      </c>
      <c r="F10" s="190">
        <f t="shared" si="9"/>
        <v>0.11487360112947469</v>
      </c>
      <c r="G10" s="190">
        <f t="shared" ref="G10" si="10">G9/G7</f>
        <v>0.1160840567126401</v>
      </c>
      <c r="H10" s="190">
        <f t="shared" si="9"/>
        <v>0.13308340976887653</v>
      </c>
      <c r="I10" s="190">
        <f t="shared" si="9"/>
        <v>0.13390213695346595</v>
      </c>
      <c r="J10" s="190">
        <f t="shared" ref="J10:K10" si="11">J9/J7</f>
        <v>0.13828938345981473</v>
      </c>
      <c r="K10" s="190">
        <f t="shared" si="11"/>
        <v>0.14705907536562229</v>
      </c>
      <c r="L10" s="190">
        <f t="shared" ref="L10" si="12">L9/L7</f>
        <v>0.13814771717678687</v>
      </c>
      <c r="M10" s="190">
        <f t="shared" ref="M10" si="13">M9/M7</f>
        <v>0.15865559899502235</v>
      </c>
      <c r="N10" s="190">
        <f t="shared" ref="N10:O10" si="14">N9/N7</f>
        <v>0.15783356871651233</v>
      </c>
      <c r="O10" s="190">
        <f t="shared" si="14"/>
        <v>0.15850056903358353</v>
      </c>
      <c r="P10" s="190">
        <f t="shared" ref="P10:Q10" si="15">P9/P7</f>
        <v>0.13876013044192137</v>
      </c>
      <c r="Q10" s="190">
        <f t="shared" si="15"/>
        <v>0.15331420727801406</v>
      </c>
      <c r="R10" s="190">
        <f t="shared" ref="R10:S10" si="16">R9/R7</f>
        <v>0.14186094544802061</v>
      </c>
      <c r="S10" s="190">
        <f t="shared" si="16"/>
        <v>0.12624375474364197</v>
      </c>
      <c r="T10" s="190">
        <f t="shared" ref="T10" si="17">T9/T7</f>
        <v>0.1188841288941629</v>
      </c>
      <c r="U10" s="190"/>
      <c r="V10" s="190"/>
      <c r="W10" s="190"/>
      <c r="X10" s="190"/>
      <c r="Z10" s="209"/>
      <c r="AB10" s="239"/>
      <c r="AC10" s="83"/>
      <c r="AD10" s="83"/>
    </row>
    <row r="11" spans="1:30" x14ac:dyDescent="0.25">
      <c r="B11" s="79" t="s">
        <v>208</v>
      </c>
      <c r="C11" s="191">
        <f>32732.6409250042*('2024 IR Data Book'!$A$5)</f>
        <v>8912.661581714372</v>
      </c>
      <c r="D11" s="191">
        <f>34550.7422333988*('2024 IR Data Book'!$A$5)</f>
        <v>9407.7063206989042</v>
      </c>
      <c r="E11" s="191">
        <f>33417.1568083944*('2024 IR Data Book'!$A$5)</f>
        <v>9099.046127646463</v>
      </c>
      <c r="F11" s="191">
        <f>40446.1853529885*('2024 IR Data Book'!$A$5)</f>
        <v>11012.956856991912</v>
      </c>
      <c r="G11" s="191">
        <f>SUM(C11:F11)</f>
        <v>38432.370887051649</v>
      </c>
      <c r="H11" s="191">
        <f>35550.2469212581*((('2024 IR Data Book'!$A$5)))</f>
        <v>9679.8581172079994</v>
      </c>
      <c r="I11" s="191">
        <f>39710.4127399845*(((('2024 IR Data Book'!$A$5))))</f>
        <v>10812.615787176523</v>
      </c>
      <c r="J11" s="191">
        <f>(38414.9799334238-4.39392664916194-4.76633426836378)*(('2024 IR Data Book'!$A$5))</f>
        <v>10457.392493739113</v>
      </c>
      <c r="K11" s="191">
        <f>(L11-H11-I11-J11)</f>
        <v>11286.125215483989</v>
      </c>
      <c r="L11" s="191">
        <f>'[11]Summary Per Product-22 Vs 21'!$H$15*3.6726*(('2024 IR Data Book'!$A$5))</f>
        <v>42235.991613607628</v>
      </c>
      <c r="M11" s="191">
        <f>38530.4366974136*((('2024 IR Data Book'!$A$5)))</f>
        <v>10491.324047653869</v>
      </c>
      <c r="N11" s="191">
        <f>39814.9087429615*(((('2024 IR Data Book'!$A$5))))</f>
        <v>10841.068655165687</v>
      </c>
      <c r="O11" s="191">
        <f>40106.3348701336*(((('2024 IR Data Book'!$A$5))))</f>
        <v>10920.420102960736</v>
      </c>
      <c r="P11" s="191">
        <f>'[12]Sum Per Produc-23 Vs 22 Express'!$R$15*3.6726*(((('2024 IR Data Book'!$A$5))))</f>
        <v>11675.8693826002</v>
      </c>
      <c r="Q11" s="191">
        <f>SUM(M11:P11)</f>
        <v>43928.682188380488</v>
      </c>
      <c r="R11" s="191">
        <f>'[13]Sum Per Produc-24 Vs 23 Express'!$R$15*3.6726*(((('2024 IR Data Book'!$A$5))))</f>
        <v>11969.689603306742</v>
      </c>
      <c r="S11" s="191">
        <f>'[14]Sum Per Produc-24 Vs 23 Express'!$R$15*3.6726*(((('2024 IR Data Book'!$A$5))))</f>
        <v>11391.000303047153</v>
      </c>
      <c r="T11" s="191">
        <f>'[15]Sum Per Produc-24 Vs 23 Express'!$R$15*3.6726*(((('2024 IR Data Book'!$A$5))))</f>
        <v>11588.813881272286</v>
      </c>
      <c r="U11" s="192">
        <f>T11-O11</f>
        <v>668.3937783115507</v>
      </c>
      <c r="V11" s="189">
        <f>U11/O11</f>
        <v>6.120586680821339E-2</v>
      </c>
      <c r="W11" s="192">
        <f>(R11+S11+T11)-(M11+N11+O11)</f>
        <v>2696.690981845888</v>
      </c>
      <c r="X11" s="189">
        <f>W11/(M11+N11+O11)</f>
        <v>8.3611032565897386E-2</v>
      </c>
      <c r="Z11" s="209"/>
      <c r="AB11" s="239"/>
      <c r="AC11" s="83"/>
      <c r="AD11" s="83"/>
    </row>
    <row r="12" spans="1:30" x14ac:dyDescent="0.25">
      <c r="B12" s="80" t="s">
        <v>209</v>
      </c>
      <c r="C12" s="193">
        <f>3822.92049566416*('2024 IR Data Book'!$A$5)</f>
        <v>1040.930266204912</v>
      </c>
      <c r="D12" s="193">
        <f>171.814102409621*('2024 IR Data Book'!$A$5)</f>
        <v>46.782688670048735</v>
      </c>
      <c r="E12" s="193">
        <f>5640.07082045135*('2024 IR Data Book'!$A$5)</f>
        <v>1535.7160650360372</v>
      </c>
      <c r="F12" s="193">
        <f>4136.80991535253*('2024 IR Data Book'!$A$5)</f>
        <v>1126.3981689681777</v>
      </c>
      <c r="G12" s="193">
        <f>SUM(C12:F12)</f>
        <v>3749.8271888791755</v>
      </c>
      <c r="H12" s="193">
        <f>14772.9469336429*((('2024 IR Data Book'!$A$5)))</f>
        <v>4022.4764291354622</v>
      </c>
      <c r="I12" s="193">
        <f>17186.7608977198*(((('2024 IR Data Book'!$A$5))))</f>
        <v>4679.7257794804218</v>
      </c>
      <c r="J12" s="193">
        <f>(23649.3192942625-86.7348680146739+4.7662891663199)*(('2024 IR Data Book'!$A$5))</f>
        <v>6417.0752914594959</v>
      </c>
      <c r="K12" s="193">
        <f>(L12-H12-I12-J12)</f>
        <v>4447.6104226743082</v>
      </c>
      <c r="L12" s="193">
        <f>'[11]Summary Per Product-22 Vs 21'!$H$21*3.6726*(('2024 IR Data Book'!$A$5))</f>
        <v>19566.887922749687</v>
      </c>
      <c r="M12" s="193">
        <f>20526.1305095385*((('2024 IR Data Book'!$A$5)))</f>
        <v>5588.9915889393069</v>
      </c>
      <c r="N12" s="193">
        <f>15543.7240725677*(((('2024 IR Data Book'!$A$5))))</f>
        <v>4232.3487645176983</v>
      </c>
      <c r="O12" s="193">
        <f>17185.2125450052*(((('2024 IR Data Book'!$A$5))))</f>
        <v>4679.3041836859993</v>
      </c>
      <c r="P12" s="193">
        <f>'[12]Sum Per Produc-23 Vs 22 Express'!$R$18*3.6726*(((('2024 IR Data Book'!$A$5))))</f>
        <v>2876.387189923521</v>
      </c>
      <c r="Q12" s="193">
        <f>SUM(M12:P12)</f>
        <v>17377.031727066525</v>
      </c>
      <c r="R12" s="193">
        <f>'[13]Sum Per Produc-24 Vs 23 Express'!$R$18*3.6726*(((('2024 IR Data Book'!$A$5))))</f>
        <v>3401.8405437409879</v>
      </c>
      <c r="S12" s="193">
        <f>'[14]Sum Per Produc-24 Vs 23 Express'!$R$18*3.6726*(((('2024 IR Data Book'!$A$5))))</f>
        <v>3170.8589514411651</v>
      </c>
      <c r="T12" s="193">
        <f>'[15]Sum Per Produc-24 Vs 23 Express'!$R$18*3.6726*(((('2024 IR Data Book'!$A$5))))</f>
        <v>3406.1560786689597</v>
      </c>
      <c r="U12" s="193">
        <f>T12-O12</f>
        <v>-1273.1481050170396</v>
      </c>
      <c r="V12" s="194">
        <f>U12/O12</f>
        <v>-0.27208064597633203</v>
      </c>
      <c r="W12" s="193">
        <f>(R12+S12+T12)-(M12+N12+O12)</f>
        <v>-4521.7889632918923</v>
      </c>
      <c r="X12" s="194">
        <f>W12/(M12+N12+O12)</f>
        <v>-0.3118336534427455</v>
      </c>
      <c r="Z12" s="209"/>
      <c r="AB12" s="239"/>
    </row>
    <row r="13" spans="1:30" x14ac:dyDescent="0.25">
      <c r="B13" s="70" t="s">
        <v>210</v>
      </c>
      <c r="C13" s="190">
        <f>C12/C7</f>
        <v>1.3261110233280289E-2</v>
      </c>
      <c r="D13" s="190">
        <f>D12/D7</f>
        <v>5.2287515435148646E-4</v>
      </c>
      <c r="E13" s="190">
        <f t="shared" ref="E13:I13" si="18">E12/E7</f>
        <v>1.7736074214835501E-2</v>
      </c>
      <c r="F13" s="190">
        <f t="shared" si="18"/>
        <v>1.0588850252633016E-2</v>
      </c>
      <c r="G13" s="190">
        <f t="shared" si="18"/>
        <v>1.0389348073966641E-2</v>
      </c>
      <c r="H13" s="190">
        <f t="shared" si="18"/>
        <v>3.7769657670427621E-2</v>
      </c>
      <c r="I13" s="190">
        <f t="shared" si="18"/>
        <v>3.9746440935232247E-2</v>
      </c>
      <c r="J13" s="190">
        <f t="shared" ref="J13:K13" si="19">J12/J7</f>
        <v>5.3619444146005606E-2</v>
      </c>
      <c r="K13" s="190">
        <f t="shared" si="19"/>
        <v>3.8770902981410442E-2</v>
      </c>
      <c r="L13" s="190">
        <f t="shared" ref="L13" si="20">L12/L7</f>
        <v>4.2663497437973291E-2</v>
      </c>
      <c r="M13" s="190">
        <f t="shared" ref="M13:N13" si="21">M12/M7</f>
        <v>5.3254813416186854E-2</v>
      </c>
      <c r="N13" s="190">
        <f t="shared" si="21"/>
        <v>4.3344437665845503E-2</v>
      </c>
      <c r="O13" s="190">
        <f t="shared" ref="O13:Q13" si="22">O12/O7</f>
        <v>4.6710221135328751E-2</v>
      </c>
      <c r="P13" s="190">
        <f t="shared" si="22"/>
        <v>2.7515923819425889E-2</v>
      </c>
      <c r="Q13" s="190">
        <f t="shared" si="22"/>
        <v>4.2663402523942712E-2</v>
      </c>
      <c r="R13" s="190">
        <f t="shared" ref="R13:S13" si="23">R12/R7</f>
        <v>3.1348447971710672E-2</v>
      </c>
      <c r="S13" s="190">
        <f t="shared" si="23"/>
        <v>2.8315709693113322E-2</v>
      </c>
      <c r="T13" s="190">
        <f t="shared" ref="T13" si="24">T12/T7</f>
        <v>2.7818194937608502E-2</v>
      </c>
      <c r="U13" s="190"/>
      <c r="V13" s="190"/>
      <c r="W13" s="190"/>
      <c r="X13" s="190"/>
      <c r="Z13" s="209"/>
      <c r="AB13" s="239"/>
      <c r="AC13" s="83"/>
      <c r="AD13" s="83"/>
    </row>
    <row r="14" spans="1:30" x14ac:dyDescent="0.25">
      <c r="B14" s="80" t="s">
        <v>211</v>
      </c>
      <c r="C14" s="193">
        <f>11649.503469717*('2024 IR Data Book'!$A$5)</f>
        <v>3172.004430026956</v>
      </c>
      <c r="D14" s="193">
        <f>7725.88673752908*('2024 IR Data Book'!$A$5)</f>
        <v>2103.6559215621305</v>
      </c>
      <c r="E14" s="193">
        <f>12316.8417705766*('2024 IR Data Book'!$A$5)</f>
        <v>3353.7117493265259</v>
      </c>
      <c r="F14" s="193">
        <f>11482.2707390202*('2024 IR Data Book'!$A$5)</f>
        <v>3126.469187774383</v>
      </c>
      <c r="G14" s="193">
        <f>SUM(C14:F14)</f>
        <v>11755.841288689995</v>
      </c>
      <c r="H14" s="193">
        <f>21659.145108213*((('2024 IR Data Book'!$A$5)))</f>
        <v>5897.496353595001</v>
      </c>
      <c r="I14" s="193">
        <f>24717.5768034835*(((('2024 IR Data Book'!$A$5))))</f>
        <v>6730.2665151346446</v>
      </c>
      <c r="J14" s="193">
        <f>(31379.0339348859-87.8817914099559+3.53117222749762)*(('2024 IR Data Book'!$A$5))</f>
        <v>8521.1249021683379</v>
      </c>
      <c r="K14" s="193">
        <f>(L14-H14-I14-J14)</f>
        <v>6383.1660141470256</v>
      </c>
      <c r="L14" s="193">
        <f>'[11]Summary Per Product-22 Vs 21'!$H$31*3.6726*(('2024 IR Data Book'!$A$5))</f>
        <v>27532.053785045009</v>
      </c>
      <c r="M14" s="193">
        <f>27676.3100070397*((('2024 IR Data Book'!$A$5)))</f>
        <v>7535.8901070194688</v>
      </c>
      <c r="N14" s="193">
        <f>22324.5220980563*(((('2024 IR Data Book'!$A$5))))</f>
        <v>6078.6696340620538</v>
      </c>
      <c r="O14" s="193">
        <f>24013.728819716*(((('2024 IR Data Book'!$A$5))))</f>
        <v>6538.6180960943202</v>
      </c>
      <c r="P14" s="193">
        <f>'[12]Sum Per Produc-23 Vs 22 Express'!$R$22*3.6726*(((('2024 IR Data Book'!$A$5))))</f>
        <v>4988.3234680195583</v>
      </c>
      <c r="Q14" s="193">
        <f>SUM(M14:P14)</f>
        <v>25141.501305195401</v>
      </c>
      <c r="R14" s="193">
        <f>'[13]Sum Per Produc-24 Vs 23 Express'!$R$22*3.6726*(((('2024 IR Data Book'!$A$5))))</f>
        <v>5365.0303975135512</v>
      </c>
      <c r="S14" s="193">
        <f>'[14]Sum Per Produc-24 Vs 23 Express'!$R$22*3.6726*(((('2024 IR Data Book'!$A$5))))</f>
        <v>4993.0574516614952</v>
      </c>
      <c r="T14" s="193">
        <f>'[15]Sum Per Produc-24 Vs 23 Express'!$R$22*3.6726*(((('2024 IR Data Book'!$A$5))))</f>
        <v>5395.5015146091027</v>
      </c>
      <c r="U14" s="193">
        <f>T14-O14</f>
        <v>-1143.1165814852175</v>
      </c>
      <c r="V14" s="194">
        <f>U14/O14</f>
        <v>-0.17482540877682237</v>
      </c>
      <c r="W14" s="193">
        <f>(R14+S14+T14)-(M14+N14+O14)</f>
        <v>-4399.5884733916919</v>
      </c>
      <c r="X14" s="194">
        <f>W14/(M14+N14+O14)</f>
        <v>-0.21830743066614186</v>
      </c>
      <c r="Z14" s="209"/>
      <c r="AB14" s="239"/>
    </row>
    <row r="15" spans="1:30" x14ac:dyDescent="0.25">
      <c r="B15" s="70" t="s">
        <v>212</v>
      </c>
      <c r="C15" s="190">
        <f>C14/C7</f>
        <v>4.0410296225127075E-2</v>
      </c>
      <c r="D15" s="190">
        <f t="shared" ref="D15:I15" si="25">D14/D7</f>
        <v>2.3511889674554521E-2</v>
      </c>
      <c r="E15" s="190">
        <f t="shared" si="25"/>
        <v>3.873221218130922E-2</v>
      </c>
      <c r="F15" s="190">
        <f t="shared" si="25"/>
        <v>2.9390774027216477E-2</v>
      </c>
      <c r="G15" s="190">
        <f t="shared" si="25"/>
        <v>3.2570974847247629E-2</v>
      </c>
      <c r="H15" s="190">
        <f t="shared" si="25"/>
        <v>5.537544403603939E-2</v>
      </c>
      <c r="I15" s="190">
        <f t="shared" si="25"/>
        <v>5.7162353763358938E-2</v>
      </c>
      <c r="J15" s="190">
        <f t="shared" ref="J15:K15" si="26">J14/J7</f>
        <v>7.1200345952156657E-2</v>
      </c>
      <c r="K15" s="190">
        <f t="shared" si="26"/>
        <v>5.5643612351264013E-2</v>
      </c>
      <c r="L15" s="190">
        <f t="shared" ref="L15" si="27">L14/L7</f>
        <v>6.003068606299581E-2</v>
      </c>
      <c r="M15" s="190">
        <f t="shared" ref="M15:N15" si="28">M14/M7</f>
        <v>7.1805873239894111E-2</v>
      </c>
      <c r="N15" s="190">
        <f t="shared" si="28"/>
        <v>6.2253025850268116E-2</v>
      </c>
      <c r="O15" s="190">
        <f t="shared" ref="O15:Q15" si="29">O14/O7</f>
        <v>6.5270451588261807E-2</v>
      </c>
      <c r="P15" s="190">
        <f t="shared" si="29"/>
        <v>4.7719002856611258E-2</v>
      </c>
      <c r="Q15" s="190">
        <f t="shared" si="29"/>
        <v>6.1726421812826789E-2</v>
      </c>
      <c r="R15" s="190">
        <f t="shared" ref="R15:S15" si="30">R14/R7</f>
        <v>4.9439523728571688E-2</v>
      </c>
      <c r="S15" s="190">
        <f t="shared" si="30"/>
        <v>4.4587907392734882E-2</v>
      </c>
      <c r="T15" s="190">
        <f t="shared" ref="T15" si="31">T14/T7</f>
        <v>4.4065248172130318E-2</v>
      </c>
      <c r="U15" s="190"/>
      <c r="V15" s="190"/>
      <c r="W15" s="190"/>
      <c r="X15" s="190"/>
      <c r="AA15" s="255"/>
    </row>
    <row r="16" spans="1:30" x14ac:dyDescent="0.25">
      <c r="AA16" s="256"/>
    </row>
    <row r="17" spans="2:30" x14ac:dyDescent="0.25">
      <c r="B17" s="79" t="s">
        <v>213</v>
      </c>
      <c r="H17" s="28"/>
      <c r="AA17" s="257"/>
      <c r="AC17" s="83"/>
      <c r="AD17" s="83"/>
    </row>
    <row r="18" spans="2:30" x14ac:dyDescent="0.25">
      <c r="B18" s="79"/>
      <c r="C18" s="75" t="s">
        <v>22</v>
      </c>
      <c r="D18" s="75" t="s">
        <v>23</v>
      </c>
      <c r="E18" s="75" t="s">
        <v>24</v>
      </c>
      <c r="F18" s="75" t="s">
        <v>25</v>
      </c>
      <c r="G18" s="202">
        <v>2021</v>
      </c>
      <c r="H18" s="75" t="s">
        <v>27</v>
      </c>
      <c r="I18" s="75" t="s">
        <v>28</v>
      </c>
      <c r="J18" s="202" t="s">
        <v>29</v>
      </c>
      <c r="K18" s="202" t="s">
        <v>30</v>
      </c>
      <c r="L18" s="202">
        <v>2022</v>
      </c>
      <c r="M18" s="202" t="s">
        <v>32</v>
      </c>
      <c r="N18" s="202" t="s">
        <v>33</v>
      </c>
      <c r="O18" s="202" t="s">
        <v>34</v>
      </c>
      <c r="P18" s="202" t="s">
        <v>35</v>
      </c>
      <c r="Q18" s="202">
        <f>Q5</f>
        <v>2023</v>
      </c>
      <c r="R18" s="202" t="s">
        <v>37</v>
      </c>
      <c r="S18" s="202" t="s">
        <v>332</v>
      </c>
      <c r="T18" s="202" t="s">
        <v>342</v>
      </c>
      <c r="AA18" s="258"/>
    </row>
    <row r="19" spans="2:30" ht="12.75" x14ac:dyDescent="0.2">
      <c r="B19" s="224" t="s">
        <v>227</v>
      </c>
      <c r="C19" s="225">
        <v>5951</v>
      </c>
      <c r="D19" s="226">
        <v>5937</v>
      </c>
      <c r="E19" s="226">
        <v>6294</v>
      </c>
      <c r="F19" s="226">
        <v>7680</v>
      </c>
      <c r="G19" s="226">
        <f>SUM(C19:F19)</f>
        <v>25862</v>
      </c>
      <c r="H19" s="226">
        <v>7271</v>
      </c>
      <c r="I19" s="227">
        <v>6794</v>
      </c>
      <c r="J19" s="235">
        <v>7355</v>
      </c>
      <c r="K19" s="235">
        <v>7616</v>
      </c>
      <c r="L19" s="235">
        <f>SUM(H19:K19)</f>
        <v>29036</v>
      </c>
      <c r="M19" s="235">
        <v>6829</v>
      </c>
      <c r="N19" s="235">
        <v>6582</v>
      </c>
      <c r="O19" s="246">
        <v>7718</v>
      </c>
      <c r="P19" s="246">
        <v>8024</v>
      </c>
      <c r="Q19" s="235">
        <f>SUM(M19:P19)</f>
        <v>29153</v>
      </c>
      <c r="R19" s="246">
        <v>7893</v>
      </c>
      <c r="S19" s="246">
        <v>6731</v>
      </c>
      <c r="T19" s="246">
        <v>7380</v>
      </c>
      <c r="U19" s="147">
        <f>T19-O19</f>
        <v>-338</v>
      </c>
      <c r="V19" s="2">
        <f>U19/O19</f>
        <v>-4.3793728945322623E-2</v>
      </c>
      <c r="W19" s="147">
        <f>(R19+S19+T19)-(M19+N19+O19)</f>
        <v>875</v>
      </c>
      <c r="X19" s="2">
        <f>W19/(M19+N19+O19)</f>
        <v>4.1412276965308345E-2</v>
      </c>
      <c r="AA19" s="258"/>
    </row>
    <row r="20" spans="2:30" ht="12.75" x14ac:dyDescent="0.2">
      <c r="B20" s="228" t="s">
        <v>228</v>
      </c>
      <c r="C20" s="229">
        <v>34763989.210000053</v>
      </c>
      <c r="D20" s="230">
        <v>37260459.126000009</v>
      </c>
      <c r="E20" s="230">
        <v>39762128.206000052</v>
      </c>
      <c r="F20" s="230">
        <v>40009071.34800002</v>
      </c>
      <c r="G20" s="230">
        <f t="shared" ref="G20:G23" si="32">SUM(C20:F20)</f>
        <v>151795647.89000013</v>
      </c>
      <c r="H20" s="230">
        <v>36921430</v>
      </c>
      <c r="I20" s="231">
        <v>39173304</v>
      </c>
      <c r="J20" s="236">
        <v>38523420</v>
      </c>
      <c r="K20" s="236">
        <v>38871375.280000068</v>
      </c>
      <c r="L20" s="236">
        <f t="shared" ref="L20:L23" si="33">SUM(H20:K20)</f>
        <v>153489529.28000006</v>
      </c>
      <c r="M20" s="236">
        <v>36357055.587000057</v>
      </c>
      <c r="N20" s="236">
        <v>38483702.320000142</v>
      </c>
      <c r="O20" s="236">
        <v>53409441.145700201</v>
      </c>
      <c r="P20" s="236">
        <v>46270904.729000144</v>
      </c>
      <c r="Q20" s="236">
        <f t="shared" ref="Q20:Q23" si="34">SUM(M20:P20)</f>
        <v>174521103.78170055</v>
      </c>
      <c r="R20" s="236">
        <v>48960168.17800013</v>
      </c>
      <c r="S20" s="236">
        <v>50469732.223000169</v>
      </c>
      <c r="T20" s="236">
        <v>56785709.88300015</v>
      </c>
      <c r="U20" s="147">
        <f>T20-O20</f>
        <v>3376268.7372999489</v>
      </c>
      <c r="V20" s="2">
        <f>U20/O20</f>
        <v>6.3214829904127537E-2</v>
      </c>
      <c r="W20" s="147">
        <f>(R20+S20+T20)-(M20+N20+O20)</f>
        <v>27965411.231300056</v>
      </c>
      <c r="X20" s="2">
        <f>W20/(M20+N20+O20)</f>
        <v>0.21805355030917767</v>
      </c>
      <c r="AA20" s="257"/>
      <c r="AC20" s="83"/>
      <c r="AD20" s="83"/>
    </row>
    <row r="21" spans="2:30" ht="12.75" x14ac:dyDescent="0.2">
      <c r="B21" s="228" t="s">
        <v>229</v>
      </c>
      <c r="C21" s="230">
        <v>9007.6500000000015</v>
      </c>
      <c r="D21" s="230">
        <v>9298.0000000000018</v>
      </c>
      <c r="E21" s="230">
        <v>8662.9500000000007</v>
      </c>
      <c r="F21" s="230">
        <v>7814.7999999999993</v>
      </c>
      <c r="G21" s="230">
        <f t="shared" si="32"/>
        <v>34783.4</v>
      </c>
      <c r="H21" s="230">
        <v>8142</v>
      </c>
      <c r="I21" s="231">
        <v>6833</v>
      </c>
      <c r="J21" s="231">
        <v>7766</v>
      </c>
      <c r="K21" s="236">
        <v>8392.3499999999913</v>
      </c>
      <c r="L21" s="236">
        <f t="shared" si="33"/>
        <v>31133.349999999991</v>
      </c>
      <c r="M21" s="236">
        <v>7003.4999999999991</v>
      </c>
      <c r="N21" s="236">
        <v>8038.6</v>
      </c>
      <c r="O21" s="236">
        <v>8051.1000000000013</v>
      </c>
      <c r="P21" s="236">
        <v>7693.7000000000016</v>
      </c>
      <c r="Q21" s="236">
        <f t="shared" si="34"/>
        <v>30786.9</v>
      </c>
      <c r="R21" s="236">
        <v>7821.7500000000018</v>
      </c>
      <c r="S21" s="236">
        <v>7518.4000000000015</v>
      </c>
      <c r="T21" s="236">
        <v>7594.0500000000011</v>
      </c>
      <c r="U21" s="147">
        <f>T21-O21</f>
        <v>-457.05000000000018</v>
      </c>
      <c r="V21" s="2">
        <f>U21/O21</f>
        <v>-5.6768640310019762E-2</v>
      </c>
      <c r="W21" s="147">
        <f>(R21+S21+T21)-(M21+N21+O21)</f>
        <v>-158.99999999999636</v>
      </c>
      <c r="X21" s="2">
        <f>W21/(M21+N21+O21)</f>
        <v>-6.8851436786584947E-3</v>
      </c>
      <c r="AA21" s="255"/>
    </row>
    <row r="22" spans="2:30" ht="12.75" x14ac:dyDescent="0.2">
      <c r="B22" s="228" t="s">
        <v>230</v>
      </c>
      <c r="C22" s="230">
        <v>13124.366</v>
      </c>
      <c r="D22" s="230">
        <v>7500.2289999999994</v>
      </c>
      <c r="E22" s="230">
        <v>8441.005000000001</v>
      </c>
      <c r="F22" s="230">
        <v>9689.8050000000003</v>
      </c>
      <c r="G22" s="230">
        <f t="shared" si="32"/>
        <v>38755.404999999999</v>
      </c>
      <c r="H22" s="230">
        <v>5225</v>
      </c>
      <c r="I22" s="231">
        <v>4033</v>
      </c>
      <c r="J22" s="231">
        <v>4759</v>
      </c>
      <c r="K22" s="236">
        <v>4508.5740000000005</v>
      </c>
      <c r="L22" s="236">
        <f t="shared" si="33"/>
        <v>18525.574000000001</v>
      </c>
      <c r="M22" s="236">
        <v>6071.5969999999998</v>
      </c>
      <c r="N22" s="236">
        <v>5575.7790000000005</v>
      </c>
      <c r="O22" s="236">
        <v>5438.9129999999986</v>
      </c>
      <c r="P22" s="236">
        <v>7646.5930000000008</v>
      </c>
      <c r="Q22" s="236">
        <f t="shared" si="34"/>
        <v>24732.881999999998</v>
      </c>
      <c r="R22" s="236">
        <v>12155.291929149998</v>
      </c>
      <c r="S22" s="236">
        <v>6847.0809999999992</v>
      </c>
      <c r="T22" s="236">
        <v>30889.347000000002</v>
      </c>
      <c r="U22" s="147">
        <f>T22-O22</f>
        <v>25450.434000000001</v>
      </c>
      <c r="V22" s="2">
        <f>U22/O22</f>
        <v>4.6793236074928952</v>
      </c>
      <c r="W22" s="147">
        <f>(R22+S22+T22)-(M22+N22+O22)</f>
        <v>32805.430929150003</v>
      </c>
      <c r="X22" s="2">
        <f>W22/(M22+N22+O22)</f>
        <v>1.9199857224204746</v>
      </c>
      <c r="AA22" s="256"/>
    </row>
    <row r="23" spans="2:30" ht="12.75" x14ac:dyDescent="0.2">
      <c r="B23" s="232" t="s">
        <v>231</v>
      </c>
      <c r="C23" s="233">
        <v>11113174.231000002</v>
      </c>
      <c r="D23" s="233">
        <v>11376366.989000002</v>
      </c>
      <c r="E23" s="233">
        <v>12392469.461000001</v>
      </c>
      <c r="F23" s="233">
        <v>11950161.360000003</v>
      </c>
      <c r="G23" s="233">
        <f t="shared" si="32"/>
        <v>46832172.041000009</v>
      </c>
      <c r="H23" s="233">
        <v>12740840</v>
      </c>
      <c r="I23" s="234">
        <v>16432000</v>
      </c>
      <c r="J23" s="234">
        <v>11773193</v>
      </c>
      <c r="K23" s="237">
        <v>11579800.640000001</v>
      </c>
      <c r="L23" s="237">
        <f t="shared" si="33"/>
        <v>52525833.640000001</v>
      </c>
      <c r="M23" s="237">
        <v>11158985.635</v>
      </c>
      <c r="N23" s="237">
        <v>10813056.409</v>
      </c>
      <c r="O23" s="237">
        <v>10901705.693999998</v>
      </c>
      <c r="P23" s="237">
        <v>11958880.807999998</v>
      </c>
      <c r="Q23" s="237">
        <f t="shared" si="34"/>
        <v>44832628.545999996</v>
      </c>
      <c r="R23" s="237">
        <v>12422682.143999998</v>
      </c>
      <c r="S23" s="237">
        <v>11009288.774999999</v>
      </c>
      <c r="T23" s="237">
        <v>11320925.339</v>
      </c>
      <c r="U23" s="147">
        <f>T23-O23</f>
        <v>419219.64500000142</v>
      </c>
      <c r="V23" s="2">
        <f>U23/O23</f>
        <v>3.8454500310967712E-2</v>
      </c>
      <c r="W23" s="147">
        <f>(R23+S23+T23)-(M23+N23+O23)</f>
        <v>1879148.5199999958</v>
      </c>
      <c r="X23" s="2">
        <f>W23/(M23+N23+O23)</f>
        <v>5.7162588670345536E-2</v>
      </c>
      <c r="AA23" s="256"/>
    </row>
    <row r="24" spans="2:30" ht="12.75" x14ac:dyDescent="0.2">
      <c r="B24" s="160"/>
      <c r="AA24" s="257"/>
      <c r="AC24" s="83"/>
      <c r="AD24" s="83"/>
    </row>
  </sheetData>
  <mergeCells count="2">
    <mergeCell ref="U4:V4"/>
    <mergeCell ref="W4:X4"/>
  </mergeCells>
  <pageMargins left="0.7" right="0.7" top="0.75" bottom="0.75" header="0.3" footer="0.3"/>
  <pageSetup orientation="portrait" horizontalDpi="1200" verticalDpi="1200" r:id="rId1"/>
  <ignoredErrors>
    <ignoredError sqref="G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5BA8FC-D23C-4F93-A85B-8CB4C25C10C8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infopath/2007/PartnerControls"/>
    <ds:schemaRef ds:uri="a81bb348-8ee9-4097-92ba-693a2f35bfa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2024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Express+Parcel Forwardin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Dina Zurub</cp:lastModifiedBy>
  <cp:revision/>
  <dcterms:created xsi:type="dcterms:W3CDTF">2021-07-29T06:01:51Z</dcterms:created>
  <dcterms:modified xsi:type="dcterms:W3CDTF">2024-11-07T08:24:08Z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